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omments1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4"/>
  </bookViews>
  <sheets>
    <sheet name="Anleitung" sheetId="13" r:id="rId1"/>
    <sheet name="Produktmenge_Chemiereaktor" sheetId="9" r:id="rId2"/>
    <sheet name="Adhaesion_Verklebung" sheetId="10" r:id="rId3"/>
    <sheet name="Durchlaufzeit_Angebot" sheetId="11" r:id="rId4"/>
    <sheet name="Dest.Konz. (doppelt ausgeführt)" sheetId="12" r:id="rId5"/>
  </sheets>
  <definedNames>
    <definedName name="solver_adj" localSheetId="2" hidden="1">Adhaesion_Verklebung!$BD$4:$BD$6</definedName>
    <definedName name="solver_adj" localSheetId="4" hidden="1">'Dest.Konz. (doppelt ausgeführt)'!$AX$4:$AX$6</definedName>
    <definedName name="solver_adj" localSheetId="3" hidden="1">Durchlaufzeit_Angebot!$BE$4:$BE$6</definedName>
    <definedName name="solver_adj" localSheetId="1" hidden="1">Produktmenge_Chemiereaktor!$BD$4:$BD$6</definedName>
    <definedName name="solver_cvg" localSheetId="2" hidden="1">0.0001</definedName>
    <definedName name="solver_cvg" localSheetId="4" hidden="1">0.0001</definedName>
    <definedName name="solver_cvg" localSheetId="3" hidden="1">0.0001</definedName>
    <definedName name="solver_cvg" localSheetId="1" hidden="1">0.0001</definedName>
    <definedName name="solver_drv" localSheetId="2" hidden="1">1</definedName>
    <definedName name="solver_drv" localSheetId="4" hidden="1">1</definedName>
    <definedName name="solver_drv" localSheetId="3" hidden="1">1</definedName>
    <definedName name="solver_drv" localSheetId="1" hidden="1">1</definedName>
    <definedName name="solver_est" localSheetId="2" hidden="1">1</definedName>
    <definedName name="solver_est" localSheetId="4" hidden="1">1</definedName>
    <definedName name="solver_est" localSheetId="3" hidden="1">1</definedName>
    <definedName name="solver_est" localSheetId="1" hidden="1">1</definedName>
    <definedName name="solver_itr" localSheetId="2" hidden="1">100</definedName>
    <definedName name="solver_itr" localSheetId="4" hidden="1">100</definedName>
    <definedName name="solver_itr" localSheetId="3" hidden="1">100</definedName>
    <definedName name="solver_itr" localSheetId="1" hidden="1">100</definedName>
    <definedName name="solver_lhs1" localSheetId="2" hidden="1">Adhaesion_Verklebung!$BD$4</definedName>
    <definedName name="solver_lhs1" localSheetId="4" hidden="1">'Dest.Konz. (doppelt ausgeführt)'!$AX$4</definedName>
    <definedName name="solver_lhs1" localSheetId="3" hidden="1">Durchlaufzeit_Angebot!$BE$4</definedName>
    <definedName name="solver_lhs1" localSheetId="1" hidden="1">Produktmenge_Chemiereaktor!$BD$4</definedName>
    <definedName name="solver_lhs2" localSheetId="2" hidden="1">Adhaesion_Verklebung!$BD$4</definedName>
    <definedName name="solver_lhs2" localSheetId="4" hidden="1">'Dest.Konz. (doppelt ausgeführt)'!$AX$4</definedName>
    <definedName name="solver_lhs2" localSheetId="3" hidden="1">Durchlaufzeit_Angebot!$BE$4</definedName>
    <definedName name="solver_lhs2" localSheetId="1" hidden="1">Produktmenge_Chemiereaktor!$BD$4</definedName>
    <definedName name="solver_lhs3" localSheetId="2" hidden="1">Adhaesion_Verklebung!$BD$5</definedName>
    <definedName name="solver_lhs3" localSheetId="4" hidden="1">'Dest.Konz. (doppelt ausgeführt)'!$AX$5</definedName>
    <definedName name="solver_lhs3" localSheetId="3" hidden="1">Durchlaufzeit_Angebot!$BE$5</definedName>
    <definedName name="solver_lhs3" localSheetId="1" hidden="1">Produktmenge_Chemiereaktor!$BD$5</definedName>
    <definedName name="solver_lhs4" localSheetId="2" hidden="1">Adhaesion_Verklebung!$BD$5</definedName>
    <definedName name="solver_lhs4" localSheetId="4" hidden="1">'Dest.Konz. (doppelt ausgeführt)'!$AX$5</definedName>
    <definedName name="solver_lhs4" localSheetId="3" hidden="1">Durchlaufzeit_Angebot!$BE$5</definedName>
    <definedName name="solver_lhs4" localSheetId="1" hidden="1">Produktmenge_Chemiereaktor!$BD$5</definedName>
    <definedName name="solver_lhs5" localSheetId="2" hidden="1">Adhaesion_Verklebung!$BD$6</definedName>
    <definedName name="solver_lhs5" localSheetId="4" hidden="1">'Dest.Konz. (doppelt ausgeführt)'!$AX$6</definedName>
    <definedName name="solver_lhs5" localSheetId="3" hidden="1">Durchlaufzeit_Angebot!$BE$6</definedName>
    <definedName name="solver_lhs5" localSheetId="1" hidden="1">Produktmenge_Chemiereaktor!$BD$6</definedName>
    <definedName name="solver_lhs6" localSheetId="2" hidden="1">Adhaesion_Verklebung!$BD$6</definedName>
    <definedName name="solver_lhs6" localSheetId="4" hidden="1">'Dest.Konz. (doppelt ausgeführt)'!$AX$6</definedName>
    <definedName name="solver_lhs6" localSheetId="3" hidden="1">Durchlaufzeit_Angebot!$BE$6</definedName>
    <definedName name="solver_lhs6" localSheetId="1" hidden="1">Produktmenge_Chemiereaktor!$BD$6</definedName>
    <definedName name="solver_lin" localSheetId="2" hidden="1">2</definedName>
    <definedName name="solver_lin" localSheetId="4" hidden="1">2</definedName>
    <definedName name="solver_lin" localSheetId="3" hidden="1">2</definedName>
    <definedName name="solver_lin" localSheetId="1" hidden="1">2</definedName>
    <definedName name="solver_neg" localSheetId="2" hidden="1">2</definedName>
    <definedName name="solver_neg" localSheetId="4" hidden="1">2</definedName>
    <definedName name="solver_neg" localSheetId="3" hidden="1">2</definedName>
    <definedName name="solver_neg" localSheetId="1" hidden="1">2</definedName>
    <definedName name="solver_num" localSheetId="2" hidden="1">6</definedName>
    <definedName name="solver_num" localSheetId="4" hidden="1">6</definedName>
    <definedName name="solver_num" localSheetId="3" hidden="1">6</definedName>
    <definedName name="solver_num" localSheetId="1" hidden="1">6</definedName>
    <definedName name="solver_nwt" localSheetId="2" hidden="1">1</definedName>
    <definedName name="solver_nwt" localSheetId="4" hidden="1">1</definedName>
    <definedName name="solver_nwt" localSheetId="3" hidden="1">1</definedName>
    <definedName name="solver_nwt" localSheetId="1" hidden="1">1</definedName>
    <definedName name="solver_opt" localSheetId="2" hidden="1">Adhaesion_Verklebung!$BD$8</definedName>
    <definedName name="solver_opt" localSheetId="4" hidden="1">'Dest.Konz. (doppelt ausgeführt)'!$AX$8</definedName>
    <definedName name="solver_opt" localSheetId="3" hidden="1">Durchlaufzeit_Angebot!$BE$8</definedName>
    <definedName name="solver_opt" localSheetId="1" hidden="1">Produktmenge_Chemiereaktor!$BD$8</definedName>
    <definedName name="solver_pre" localSheetId="2" hidden="1">0.000001</definedName>
    <definedName name="solver_pre" localSheetId="4" hidden="1">0.000001</definedName>
    <definedName name="solver_pre" localSheetId="3" hidden="1">0.000001</definedName>
    <definedName name="solver_pre" localSheetId="1" hidden="1">0.000001</definedName>
    <definedName name="solver_rel1" localSheetId="2" hidden="1">1</definedName>
    <definedName name="solver_rel1" localSheetId="4" hidden="1">1</definedName>
    <definedName name="solver_rel1" localSheetId="3" hidden="1">1</definedName>
    <definedName name="solver_rel1" localSheetId="1" hidden="1">1</definedName>
    <definedName name="solver_rel2" localSheetId="2" hidden="1">3</definedName>
    <definedName name="solver_rel2" localSheetId="4" hidden="1">3</definedName>
    <definedName name="solver_rel2" localSheetId="3" hidden="1">3</definedName>
    <definedName name="solver_rel2" localSheetId="1" hidden="1">3</definedName>
    <definedName name="solver_rel3" localSheetId="2" hidden="1">1</definedName>
    <definedName name="solver_rel3" localSheetId="4" hidden="1">1</definedName>
    <definedName name="solver_rel3" localSheetId="3" hidden="1">1</definedName>
    <definedName name="solver_rel3" localSheetId="1" hidden="1">1</definedName>
    <definedName name="solver_rel4" localSheetId="2" hidden="1">3</definedName>
    <definedName name="solver_rel4" localSheetId="4" hidden="1">3</definedName>
    <definedName name="solver_rel4" localSheetId="3" hidden="1">3</definedName>
    <definedName name="solver_rel4" localSheetId="1" hidden="1">3</definedName>
    <definedName name="solver_rel5" localSheetId="2" hidden="1">1</definedName>
    <definedName name="solver_rel5" localSheetId="4" hidden="1">1</definedName>
    <definedName name="solver_rel5" localSheetId="3" hidden="1">1</definedName>
    <definedName name="solver_rel5" localSheetId="1" hidden="1">1</definedName>
    <definedName name="solver_rel6" localSheetId="2" hidden="1">3</definedName>
    <definedName name="solver_rel6" localSheetId="4" hidden="1">3</definedName>
    <definedName name="solver_rel6" localSheetId="3" hidden="1">3</definedName>
    <definedName name="solver_rel6" localSheetId="1" hidden="1">3</definedName>
    <definedName name="solver_rhs1" localSheetId="2" hidden="1">1</definedName>
    <definedName name="solver_rhs1" localSheetId="4" hidden="1">1</definedName>
    <definedName name="solver_rhs1" localSheetId="3" hidden="1">1</definedName>
    <definedName name="solver_rhs1" localSheetId="1" hidden="1">1</definedName>
    <definedName name="solver_rhs2" localSheetId="2" hidden="1">-1</definedName>
    <definedName name="solver_rhs2" localSheetId="4" hidden="1">-1</definedName>
    <definedName name="solver_rhs2" localSheetId="3" hidden="1">-1</definedName>
    <definedName name="solver_rhs2" localSheetId="1" hidden="1">-1</definedName>
    <definedName name="solver_rhs3" localSheetId="2" hidden="1">1</definedName>
    <definedName name="solver_rhs3" localSheetId="4" hidden="1">1</definedName>
    <definedName name="solver_rhs3" localSheetId="3" hidden="1">1</definedName>
    <definedName name="solver_rhs3" localSheetId="1" hidden="1">1</definedName>
    <definedName name="solver_rhs4" localSheetId="2" hidden="1">-1</definedName>
    <definedName name="solver_rhs4" localSheetId="4" hidden="1">-1</definedName>
    <definedName name="solver_rhs4" localSheetId="3" hidden="1">-1</definedName>
    <definedName name="solver_rhs4" localSheetId="1" hidden="1">-1</definedName>
    <definedName name="solver_rhs5" localSheetId="2" hidden="1">1</definedName>
    <definedName name="solver_rhs5" localSheetId="4" hidden="1">1</definedName>
    <definedName name="solver_rhs5" localSheetId="3" hidden="1">1</definedName>
    <definedName name="solver_rhs5" localSheetId="1" hidden="1">1</definedName>
    <definedName name="solver_rhs6" localSheetId="2" hidden="1">-1</definedName>
    <definedName name="solver_rhs6" localSheetId="4" hidden="1">-1</definedName>
    <definedName name="solver_rhs6" localSheetId="3" hidden="1">-1</definedName>
    <definedName name="solver_rhs6" localSheetId="1" hidden="1">-1</definedName>
    <definedName name="solver_scl" localSheetId="2" hidden="1">2</definedName>
    <definedName name="solver_scl" localSheetId="4" hidden="1">2</definedName>
    <definedName name="solver_scl" localSheetId="3" hidden="1">2</definedName>
    <definedName name="solver_scl" localSheetId="1" hidden="1">2</definedName>
    <definedName name="solver_sho" localSheetId="2" hidden="1">2</definedName>
    <definedName name="solver_sho" localSheetId="4" hidden="1">2</definedName>
    <definedName name="solver_sho" localSheetId="3" hidden="1">2</definedName>
    <definedName name="solver_sho" localSheetId="1" hidden="1">2</definedName>
    <definedName name="solver_tim" localSheetId="2" hidden="1">100</definedName>
    <definedName name="solver_tim" localSheetId="4" hidden="1">100</definedName>
    <definedName name="solver_tim" localSheetId="3" hidden="1">100</definedName>
    <definedName name="solver_tim" localSheetId="1" hidden="1">100</definedName>
    <definedName name="solver_tol" localSheetId="2" hidden="1">0.05</definedName>
    <definedName name="solver_tol" localSheetId="4" hidden="1">0.05</definedName>
    <definedName name="solver_tol" localSheetId="3" hidden="1">0.05</definedName>
    <definedName name="solver_tol" localSheetId="1" hidden="1">0.05</definedName>
    <definedName name="solver_typ" localSheetId="2" hidden="1">1</definedName>
    <definedName name="solver_typ" localSheetId="4" hidden="1">1</definedName>
    <definedName name="solver_typ" localSheetId="3" hidden="1">1</definedName>
    <definedName name="solver_typ" localSheetId="1" hidden="1">1</definedName>
    <definedName name="solver_val" localSheetId="2" hidden="1">0</definedName>
    <definedName name="solver_val" localSheetId="4" hidden="1">0</definedName>
    <definedName name="solver_val" localSheetId="3" hidden="1">0</definedName>
    <definedName name="solver_val" localSheetId="1" hidden="1">0</definedName>
  </definedNames>
  <calcPr calcId="145621"/>
</workbook>
</file>

<file path=xl/calcChain.xml><?xml version="1.0" encoding="utf-8"?>
<calcChain xmlns="http://schemas.openxmlformats.org/spreadsheetml/2006/main">
  <c r="BP10" i="12" l="1"/>
  <c r="BP9" i="12"/>
  <c r="BP8" i="12"/>
  <c r="BP6" i="12"/>
  <c r="AJ13" i="12" l="1"/>
  <c r="AI13" i="12"/>
  <c r="AH13" i="12"/>
  <c r="AG13" i="12"/>
  <c r="AF13" i="12"/>
  <c r="AE13" i="12"/>
  <c r="AD13" i="12"/>
  <c r="AQ13" i="11"/>
  <c r="AP13" i="11"/>
  <c r="AO13" i="11"/>
  <c r="AN13" i="11"/>
  <c r="AM13" i="11"/>
  <c r="AL13" i="11"/>
  <c r="AK13" i="11"/>
  <c r="AP13" i="10"/>
  <c r="AO13" i="10"/>
  <c r="AN13" i="10"/>
  <c r="AM13" i="10"/>
  <c r="AL13" i="10"/>
  <c r="AK13" i="10"/>
  <c r="AJ13" i="10"/>
  <c r="AP13" i="9"/>
  <c r="AO13" i="9"/>
  <c r="AN13" i="9"/>
  <c r="AM13" i="9"/>
  <c r="AL13" i="9"/>
  <c r="AK13" i="9"/>
  <c r="AJ13" i="9"/>
  <c r="L3" i="12" l="1"/>
  <c r="P3" i="10" l="1"/>
  <c r="AU31" i="9" l="1"/>
  <c r="AU30" i="9"/>
  <c r="O3" i="9" l="1"/>
  <c r="O6" i="12" l="1"/>
  <c r="O7" i="12"/>
  <c r="O8" i="12"/>
  <c r="O9" i="12"/>
  <c r="O10" i="12"/>
  <c r="O11" i="12"/>
  <c r="O12" i="12"/>
  <c r="O5" i="12"/>
  <c r="O13" i="12" s="1"/>
  <c r="AS24" i="9" l="1"/>
  <c r="AS25" i="9"/>
  <c r="AS26" i="9"/>
  <c r="AS27" i="9"/>
  <c r="AS28" i="9"/>
  <c r="AS29" i="9"/>
  <c r="AS23" i="9"/>
  <c r="AS23" i="10"/>
  <c r="AS24" i="10"/>
  <c r="AS25" i="10"/>
  <c r="AS26" i="10"/>
  <c r="AS27" i="10"/>
  <c r="AS28" i="10"/>
  <c r="AS22" i="10"/>
  <c r="AP33" i="12"/>
  <c r="AM33" i="12"/>
  <c r="AR16" i="12"/>
  <c r="AP17" i="12"/>
  <c r="AL20" i="12"/>
  <c r="AL22" i="12"/>
  <c r="AQ22" i="12"/>
  <c r="AL23" i="12"/>
  <c r="AQ23" i="12"/>
  <c r="AL24" i="12"/>
  <c r="AQ24" i="12"/>
  <c r="AL25" i="12"/>
  <c r="AQ25" i="12"/>
  <c r="AL26" i="12"/>
  <c r="AQ26" i="12"/>
  <c r="AL27" i="12"/>
  <c r="AQ27" i="12"/>
  <c r="AO19" i="12"/>
  <c r="AL19" i="12"/>
  <c r="AQ13" i="12"/>
  <c r="N6" i="12"/>
  <c r="AA6" i="12" s="1"/>
  <c r="N7" i="12"/>
  <c r="AA7" i="12" s="1"/>
  <c r="N8" i="12"/>
  <c r="AA8" i="12" s="1"/>
  <c r="N9" i="12"/>
  <c r="AA9" i="12" s="1"/>
  <c r="N10" i="12"/>
  <c r="AA10" i="12" s="1"/>
  <c r="N11" i="12"/>
  <c r="AA11" i="12" s="1"/>
  <c r="N12" i="12"/>
  <c r="AA12" i="12" s="1"/>
  <c r="N5" i="12"/>
  <c r="AA5" i="12" s="1"/>
  <c r="AQ29" i="12" l="1"/>
  <c r="AG44" i="12"/>
  <c r="AG45" i="12"/>
  <c r="AG69" i="12"/>
  <c r="AG71" i="12"/>
  <c r="AG96" i="12"/>
  <c r="AG98" i="12"/>
  <c r="AR33" i="12"/>
  <c r="AG43" i="12"/>
  <c r="AG46" i="12"/>
  <c r="AG68" i="12"/>
  <c r="AG70" i="12"/>
  <c r="AG95" i="12"/>
  <c r="AG97" i="12"/>
  <c r="AR17" i="12"/>
  <c r="AD97" i="12"/>
  <c r="AD95" i="12"/>
  <c r="AD70" i="12"/>
  <c r="AD68" i="12"/>
  <c r="AD45" i="12"/>
  <c r="AD43" i="12"/>
  <c r="AG17" i="12"/>
  <c r="AE17" i="12"/>
  <c r="AD17" i="12"/>
  <c r="AJ16" i="12"/>
  <c r="AI16" i="12"/>
  <c r="AH16" i="12"/>
  <c r="AG16" i="12"/>
  <c r="AF16" i="12"/>
  <c r="AE16" i="12"/>
  <c r="AD16" i="12"/>
  <c r="Y12" i="12"/>
  <c r="X12" i="12"/>
  <c r="AI12" i="12" s="1"/>
  <c r="W12" i="12"/>
  <c r="U12" i="12"/>
  <c r="X11" i="12"/>
  <c r="S11" i="12"/>
  <c r="U11" i="12" s="1"/>
  <c r="AF11" i="12" s="1"/>
  <c r="W10" i="12"/>
  <c r="T10" i="12"/>
  <c r="Y10" i="12" s="1"/>
  <c r="T9" i="12"/>
  <c r="S9" i="12"/>
  <c r="AD8" i="12"/>
  <c r="AE8" i="12"/>
  <c r="V8" i="12"/>
  <c r="AG8" i="12" s="1"/>
  <c r="U8" i="12"/>
  <c r="AF8" i="12" s="1"/>
  <c r="AE7" i="12"/>
  <c r="V7" i="12"/>
  <c r="S7" i="12"/>
  <c r="AD7" i="12" s="1"/>
  <c r="AX6" i="12"/>
  <c r="BN10" i="12" s="1"/>
  <c r="V6" i="12"/>
  <c r="W6" i="12" s="1"/>
  <c r="AH6" i="12" s="1"/>
  <c r="T6" i="12"/>
  <c r="AX5" i="12"/>
  <c r="BL10" i="12" s="1"/>
  <c r="V5" i="12"/>
  <c r="T5" i="12"/>
  <c r="S5" i="12"/>
  <c r="AX4" i="12"/>
  <c r="BJ10" i="12" s="1"/>
  <c r="AN4" i="12"/>
  <c r="AN20" i="12" s="1"/>
  <c r="AM4" i="12"/>
  <c r="AM20" i="12" s="1"/>
  <c r="Y6" i="12" l="1"/>
  <c r="U6" i="12"/>
  <c r="AF6" i="12" s="1"/>
  <c r="W8" i="12"/>
  <c r="AH8" i="12" s="1"/>
  <c r="U9" i="12"/>
  <c r="W9" i="12"/>
  <c r="U10" i="12"/>
  <c r="X10" i="12"/>
  <c r="U5" i="12"/>
  <c r="Y8" i="12"/>
  <c r="AJ8" i="12" s="1"/>
  <c r="BN8" i="12"/>
  <c r="AG9" i="12"/>
  <c r="AE9" i="12"/>
  <c r="AG11" i="12"/>
  <c r="AE11" i="12"/>
  <c r="AD10" i="12"/>
  <c r="AE10" i="12"/>
  <c r="AD6" i="12"/>
  <c r="AE6" i="12"/>
  <c r="AG12" i="12"/>
  <c r="AE12" i="12"/>
  <c r="AD11" i="12"/>
  <c r="AJ10" i="12"/>
  <c r="AH10" i="12"/>
  <c r="AF10" i="12"/>
  <c r="AH12" i="12"/>
  <c r="AJ12" i="12"/>
  <c r="AD12" i="12"/>
  <c r="AI11" i="12"/>
  <c r="AF12" i="12"/>
  <c r="AG7" i="12"/>
  <c r="AI10" i="12"/>
  <c r="AF9" i="12"/>
  <c r="AH9" i="12"/>
  <c r="AD9" i="12"/>
  <c r="AG6" i="12"/>
  <c r="AJ6" i="12"/>
  <c r="W5" i="12"/>
  <c r="Y5" i="12"/>
  <c r="BN5" i="12"/>
  <c r="BN6" i="12"/>
  <c r="X7" i="12"/>
  <c r="AI7" i="12" s="1"/>
  <c r="Y9" i="12"/>
  <c r="AJ9" i="12" s="1"/>
  <c r="BL9" i="12"/>
  <c r="AG10" i="12"/>
  <c r="BN4" i="12"/>
  <c r="X5" i="12"/>
  <c r="X6" i="12"/>
  <c r="AI6" i="12" s="1"/>
  <c r="BL6" i="12"/>
  <c r="U7" i="12"/>
  <c r="AF7" i="12" s="1"/>
  <c r="W7" i="12"/>
  <c r="AH7" i="12" s="1"/>
  <c r="Y7" i="12"/>
  <c r="AJ7" i="12" s="1"/>
  <c r="BN7" i="12"/>
  <c r="X8" i="12"/>
  <c r="AI8" i="12" s="1"/>
  <c r="BL8" i="12"/>
  <c r="X9" i="12"/>
  <c r="AI9" i="12" s="1"/>
  <c r="BN9" i="12"/>
  <c r="W11" i="12"/>
  <c r="AH11" i="12" s="1"/>
  <c r="Y11" i="12"/>
  <c r="AJ11" i="12" s="1"/>
  <c r="AK97" i="11" l="1"/>
  <c r="AK95" i="11"/>
  <c r="AK70" i="11"/>
  <c r="AK68" i="11"/>
  <c r="AK45" i="11"/>
  <c r="AK43" i="11"/>
  <c r="AX19" i="11"/>
  <c r="AX18" i="11"/>
  <c r="AN17" i="11"/>
  <c r="AL17" i="11"/>
  <c r="AK17" i="11"/>
  <c r="AQ16" i="11"/>
  <c r="AP16" i="11"/>
  <c r="AO16" i="11"/>
  <c r="AN16" i="11"/>
  <c r="AM16" i="11"/>
  <c r="AL16" i="11"/>
  <c r="AK16" i="11"/>
  <c r="AH12" i="11"/>
  <c r="AN12" i="11" s="1"/>
  <c r="AE12" i="11"/>
  <c r="AD12" i="11"/>
  <c r="AC12" i="11"/>
  <c r="AA12" i="11"/>
  <c r="AH11" i="11"/>
  <c r="AD11" i="11"/>
  <c r="Y11" i="11"/>
  <c r="AK11" i="11" s="1"/>
  <c r="AH10" i="11"/>
  <c r="AD10" i="11"/>
  <c r="AC10" i="11"/>
  <c r="AA10" i="11"/>
  <c r="Z10" i="11"/>
  <c r="AE10" i="11" s="1"/>
  <c r="AQ10" i="11" s="1"/>
  <c r="AH9" i="11"/>
  <c r="Z9" i="11"/>
  <c r="Y9" i="11"/>
  <c r="K9" i="11"/>
  <c r="AH8" i="11"/>
  <c r="AB8" i="11"/>
  <c r="AE8" i="11" s="1"/>
  <c r="AA8" i="11"/>
  <c r="K8" i="11"/>
  <c r="AH7" i="11"/>
  <c r="AB7" i="11"/>
  <c r="AN7" i="11" s="1"/>
  <c r="Y7" i="11"/>
  <c r="AK7" i="11" s="1"/>
  <c r="S7" i="11"/>
  <c r="Q7" i="11"/>
  <c r="O7" i="11"/>
  <c r="M7" i="11"/>
  <c r="BU10" i="11"/>
  <c r="AH6" i="11"/>
  <c r="AB6" i="11"/>
  <c r="AC6" i="11" s="1"/>
  <c r="Z6" i="11"/>
  <c r="AE6" i="11" s="1"/>
  <c r="P6" i="11"/>
  <c r="N6" i="11"/>
  <c r="K6" i="11"/>
  <c r="BS10" i="11"/>
  <c r="AH5" i="11"/>
  <c r="AB5" i="11"/>
  <c r="Z5" i="11"/>
  <c r="Y5" i="11"/>
  <c r="R5" i="11"/>
  <c r="N5" i="11"/>
  <c r="K5" i="11"/>
  <c r="BQ10" i="11"/>
  <c r="P4" i="11"/>
  <c r="N4" i="11"/>
  <c r="N3" i="11"/>
  <c r="AM8" i="11" l="1"/>
  <c r="AP12" i="11"/>
  <c r="AO10" i="11"/>
  <c r="AL9" i="11"/>
  <c r="AP11" i="11"/>
  <c r="AO6" i="11"/>
  <c r="AH13" i="11"/>
  <c r="AV5" i="11" s="1"/>
  <c r="BW3" i="11" s="1"/>
  <c r="AN95" i="11"/>
  <c r="AN68" i="11"/>
  <c r="AN43" i="11"/>
  <c r="AA6" i="11"/>
  <c r="AM6" i="11" s="1"/>
  <c r="AK6" i="11"/>
  <c r="AN69" i="11"/>
  <c r="AN44" i="11"/>
  <c r="AN96" i="11"/>
  <c r="AN45" i="11"/>
  <c r="AC8" i="11"/>
  <c r="AO8" i="11" s="1"/>
  <c r="AL8" i="11"/>
  <c r="AN46" i="11"/>
  <c r="AA9" i="11"/>
  <c r="AC9" i="11"/>
  <c r="AK10" i="11"/>
  <c r="AN71" i="11"/>
  <c r="AA11" i="11"/>
  <c r="AM11" i="11" s="1"/>
  <c r="AN11" i="11"/>
  <c r="AN98" i="11"/>
  <c r="AN9" i="11"/>
  <c r="AN97" i="11"/>
  <c r="AN70" i="11"/>
  <c r="BU8" i="11"/>
  <c r="AM12" i="11"/>
  <c r="AO12" i="11"/>
  <c r="AQ12" i="11"/>
  <c r="AK12" i="11"/>
  <c r="AM10" i="11"/>
  <c r="AP10" i="11"/>
  <c r="AM9" i="11"/>
  <c r="AO9" i="11"/>
  <c r="AK9" i="11"/>
  <c r="AN8" i="11"/>
  <c r="AQ8" i="11"/>
  <c r="AK8" i="11"/>
  <c r="AL6" i="11"/>
  <c r="AN6" i="11"/>
  <c r="AQ6" i="11"/>
  <c r="AL5" i="11"/>
  <c r="AK5" i="11"/>
  <c r="AN5" i="11"/>
  <c r="AA5" i="11"/>
  <c r="AM5" i="11" s="1"/>
  <c r="AC5" i="11"/>
  <c r="AO5" i="11" s="1"/>
  <c r="AE5" i="11"/>
  <c r="AQ5" i="11" s="1"/>
  <c r="BU5" i="11"/>
  <c r="BU6" i="11"/>
  <c r="AD7" i="11"/>
  <c r="AP7" i="11" s="1"/>
  <c r="AL7" i="11"/>
  <c r="AE9" i="11"/>
  <c r="AQ9" i="11" s="1"/>
  <c r="BS9" i="11"/>
  <c r="AL10" i="11"/>
  <c r="AN10" i="11"/>
  <c r="AL11" i="11"/>
  <c r="BU4" i="11"/>
  <c r="AD5" i="11"/>
  <c r="AP5" i="11" s="1"/>
  <c r="AD6" i="11"/>
  <c r="AP6" i="11" s="1"/>
  <c r="BS6" i="11"/>
  <c r="AA7" i="11"/>
  <c r="AM7" i="11" s="1"/>
  <c r="AC7" i="11"/>
  <c r="AO7" i="11" s="1"/>
  <c r="AE7" i="11"/>
  <c r="AQ7" i="11" s="1"/>
  <c r="BU7" i="11"/>
  <c r="AD8" i="11"/>
  <c r="AP8" i="11" s="1"/>
  <c r="BS8" i="11"/>
  <c r="AD9" i="11"/>
  <c r="AP9" i="11" s="1"/>
  <c r="BU9" i="11"/>
  <c r="AC11" i="11"/>
  <c r="AO11" i="11" s="1"/>
  <c r="AE11" i="11"/>
  <c r="AQ11" i="11" s="1"/>
  <c r="AL12" i="11"/>
  <c r="AP18" i="11" l="1"/>
  <c r="AP19" i="11"/>
  <c r="AO19" i="11"/>
  <c r="AO18" i="11"/>
  <c r="AN19" i="11"/>
  <c r="AN18" i="11"/>
  <c r="AL19" i="11"/>
  <c r="AL18" i="11"/>
  <c r="AQ18" i="11"/>
  <c r="AQ19" i="11"/>
  <c r="AM19" i="11"/>
  <c r="AM18" i="11"/>
  <c r="AK19" i="11"/>
  <c r="AK18" i="11"/>
  <c r="AT6" i="11"/>
  <c r="AV6" i="11" s="1"/>
  <c r="AT11" i="11"/>
  <c r="AT12" i="11"/>
  <c r="AT8" i="11"/>
  <c r="AT9" i="11"/>
  <c r="AT7" i="11"/>
  <c r="AT10" i="11"/>
  <c r="AW6" i="11" l="1"/>
  <c r="AV7" i="11"/>
  <c r="BS5" i="11" s="1"/>
  <c r="AW7" i="11"/>
  <c r="AW9" i="11"/>
  <c r="AV9" i="11"/>
  <c r="BS7" i="11" s="1"/>
  <c r="AW8" i="11"/>
  <c r="AV8" i="11"/>
  <c r="BQ6" i="11" s="1"/>
  <c r="AV11" i="11"/>
  <c r="BQ9" i="11" s="1"/>
  <c r="AW11" i="11"/>
  <c r="BS4" i="11"/>
  <c r="AV10" i="11"/>
  <c r="BQ8" i="11" s="1"/>
  <c r="AW10" i="11"/>
  <c r="AW12" i="11"/>
  <c r="AV12" i="11"/>
  <c r="BO10" i="11" s="1"/>
  <c r="AV14" i="11" l="1"/>
  <c r="AX14" i="11" s="1"/>
  <c r="AX6" i="11" s="1"/>
  <c r="AY6" i="11" l="1"/>
  <c r="BA6" i="11"/>
  <c r="AX12" i="11"/>
  <c r="BA12" i="11" s="1"/>
  <c r="AX7" i="11"/>
  <c r="AX8" i="11"/>
  <c r="BA8" i="11" s="1"/>
  <c r="AX11" i="11"/>
  <c r="BA11" i="11" s="1"/>
  <c r="AX9" i="11"/>
  <c r="BA9" i="11" s="1"/>
  <c r="AX10" i="11"/>
  <c r="AZ6" i="11"/>
  <c r="AZ7" i="11"/>
  <c r="BW5" i="11" s="1"/>
  <c r="AY10" i="11" l="1"/>
  <c r="BA10" i="11"/>
  <c r="AY7" i="11"/>
  <c r="BA7" i="11"/>
  <c r="AZ11" i="11"/>
  <c r="BW9" i="11" s="1"/>
  <c r="AY11" i="11"/>
  <c r="AZ10" i="11"/>
  <c r="BW8" i="11" s="1"/>
  <c r="AZ9" i="11"/>
  <c r="BW7" i="11" s="1"/>
  <c r="AY9" i="11"/>
  <c r="AZ8" i="11"/>
  <c r="BW6" i="11" s="1"/>
  <c r="AY8" i="11"/>
  <c r="AZ12" i="11"/>
  <c r="BW10" i="11" s="1"/>
  <c r="AY12" i="11"/>
  <c r="BW4" i="11"/>
  <c r="BW11" i="11" l="1"/>
  <c r="BE8" i="11"/>
  <c r="BD6" i="10"/>
  <c r="BT10" i="10" s="1"/>
  <c r="BD4" i="10"/>
  <c r="BP10" i="10" s="1"/>
  <c r="AJ97" i="10"/>
  <c r="AJ95" i="10"/>
  <c r="AJ70" i="10"/>
  <c r="AJ68" i="10"/>
  <c r="AJ45" i="10"/>
  <c r="AJ43" i="10"/>
  <c r="AW19" i="10"/>
  <c r="AW18" i="10"/>
  <c r="AM17" i="10"/>
  <c r="AK17" i="10"/>
  <c r="AJ17" i="10"/>
  <c r="AP16" i="10"/>
  <c r="AO16" i="10"/>
  <c r="AN16" i="10"/>
  <c r="AM16" i="10"/>
  <c r="AL16" i="10"/>
  <c r="AK16" i="10"/>
  <c r="AJ16" i="10"/>
  <c r="AG12" i="10"/>
  <c r="AM12" i="10" s="1"/>
  <c r="AE12" i="10"/>
  <c r="AD12" i="10"/>
  <c r="AO12" i="10" s="1"/>
  <c r="AC12" i="10"/>
  <c r="AA12" i="10"/>
  <c r="AG11" i="10"/>
  <c r="AD11" i="10"/>
  <c r="AA11" i="10"/>
  <c r="AL11" i="10" s="1"/>
  <c r="Y11" i="10"/>
  <c r="AG10" i="10"/>
  <c r="AC10" i="10"/>
  <c r="AN10" i="10" s="1"/>
  <c r="Z10" i="10"/>
  <c r="AE10" i="10" s="1"/>
  <c r="AP10" i="10" s="1"/>
  <c r="AG9" i="10"/>
  <c r="Z9" i="10"/>
  <c r="AK9" i="10" s="1"/>
  <c r="Y9" i="10"/>
  <c r="AA9" i="10" s="1"/>
  <c r="K9" i="10"/>
  <c r="BT8" i="10"/>
  <c r="AG8" i="10"/>
  <c r="AE8" i="10"/>
  <c r="AB8" i="10"/>
  <c r="AC8" i="10" s="1"/>
  <c r="AN8" i="10" s="1"/>
  <c r="AA8" i="10"/>
  <c r="AL8" i="10" s="1"/>
  <c r="K8" i="10"/>
  <c r="BT7" i="10"/>
  <c r="AG7" i="10"/>
  <c r="AB7" i="10"/>
  <c r="Y7" i="10"/>
  <c r="S7" i="10"/>
  <c r="Q7" i="10"/>
  <c r="O7" i="10"/>
  <c r="M7" i="10"/>
  <c r="AG6" i="10"/>
  <c r="AB6" i="10"/>
  <c r="AC6" i="10" s="1"/>
  <c r="Z6" i="10"/>
  <c r="P6" i="10"/>
  <c r="N6" i="10"/>
  <c r="K6" i="10"/>
  <c r="BD5" i="10"/>
  <c r="BT5" i="10" s="1"/>
  <c r="AG5" i="10"/>
  <c r="AB5" i="10"/>
  <c r="Z5" i="10"/>
  <c r="AK5" i="10" s="1"/>
  <c r="Y5" i="10"/>
  <c r="R5" i="10"/>
  <c r="N5" i="10"/>
  <c r="K5" i="10"/>
  <c r="AT4" i="10"/>
  <c r="AS4" i="10"/>
  <c r="P4" i="10"/>
  <c r="N4" i="10"/>
  <c r="N3" i="10"/>
  <c r="AJ97" i="9"/>
  <c r="AJ95" i="9"/>
  <c r="AJ70" i="9"/>
  <c r="AJ68" i="9"/>
  <c r="AJ43" i="9"/>
  <c r="AJ45" i="9"/>
  <c r="AJ7" i="10" l="1"/>
  <c r="AC9" i="10"/>
  <c r="AJ10" i="10"/>
  <c r="AM71" i="10"/>
  <c r="AM11" i="10"/>
  <c r="AM98" i="10"/>
  <c r="AM95" i="10"/>
  <c r="AM68" i="10"/>
  <c r="AM43" i="10"/>
  <c r="AM96" i="10"/>
  <c r="AM45" i="10"/>
  <c r="AJ5" i="10"/>
  <c r="AE6" i="10"/>
  <c r="AP6" i="10" s="1"/>
  <c r="AJ6" i="10"/>
  <c r="AM69" i="10"/>
  <c r="AM44" i="10"/>
  <c r="AK8" i="10"/>
  <c r="AM46" i="10"/>
  <c r="AM9" i="10"/>
  <c r="AM97" i="10"/>
  <c r="AM70" i="10"/>
  <c r="AA10" i="10"/>
  <c r="AD10" i="10"/>
  <c r="BT9" i="10"/>
  <c r="AM5" i="10"/>
  <c r="AN6" i="10"/>
  <c r="AG13" i="10"/>
  <c r="AU5" i="10" s="1"/>
  <c r="BV3" i="10" s="1"/>
  <c r="AN12" i="10"/>
  <c r="AP12" i="10"/>
  <c r="AJ12" i="10"/>
  <c r="AL10" i="10"/>
  <c r="AO10" i="10"/>
  <c r="AL12" i="10"/>
  <c r="AJ11" i="10"/>
  <c r="AO11" i="10"/>
  <c r="AM8" i="10"/>
  <c r="AP8" i="10"/>
  <c r="AJ8" i="10"/>
  <c r="AM7" i="10"/>
  <c r="AL9" i="10"/>
  <c r="AN9" i="10"/>
  <c r="AJ9" i="10"/>
  <c r="BT6" i="10"/>
  <c r="BR10" i="10"/>
  <c r="BR9" i="10"/>
  <c r="BT4" i="10"/>
  <c r="AD5" i="10"/>
  <c r="AO5" i="10" s="1"/>
  <c r="AD6" i="10"/>
  <c r="AO6" i="10" s="1"/>
  <c r="AK6" i="10"/>
  <c r="AK18" i="10" s="1"/>
  <c r="AM6" i="10"/>
  <c r="AD7" i="10"/>
  <c r="AO7" i="10" s="1"/>
  <c r="AK7" i="10"/>
  <c r="AE9" i="10"/>
  <c r="AP9" i="10" s="1"/>
  <c r="AK10" i="10"/>
  <c r="AM10" i="10"/>
  <c r="AK11" i="10"/>
  <c r="AA5" i="10"/>
  <c r="AL5" i="10" s="1"/>
  <c r="AC5" i="10"/>
  <c r="AN5" i="10" s="1"/>
  <c r="AE5" i="10"/>
  <c r="AP5" i="10" s="1"/>
  <c r="AA6" i="10"/>
  <c r="AL6" i="10" s="1"/>
  <c r="BR6" i="10"/>
  <c r="AA7" i="10"/>
  <c r="AL7" i="10" s="1"/>
  <c r="AC7" i="10"/>
  <c r="AN7" i="10" s="1"/>
  <c r="AE7" i="10"/>
  <c r="AP7" i="10" s="1"/>
  <c r="AD8" i="10"/>
  <c r="AO8" i="10" s="1"/>
  <c r="BR8" i="10"/>
  <c r="AD9" i="10"/>
  <c r="AO9" i="10" s="1"/>
  <c r="AC11" i="10"/>
  <c r="AN11" i="10" s="1"/>
  <c r="AE11" i="10"/>
  <c r="AP11" i="10" s="1"/>
  <c r="AK12" i="10"/>
  <c r="AW19" i="9"/>
  <c r="AW18" i="9"/>
  <c r="AM17" i="9"/>
  <c r="AK17" i="9"/>
  <c r="AJ17" i="9"/>
  <c r="AP16" i="9"/>
  <c r="AO16" i="9"/>
  <c r="AN16" i="9"/>
  <c r="AM16" i="9"/>
  <c r="AL16" i="9"/>
  <c r="AK16" i="9"/>
  <c r="AJ16" i="9"/>
  <c r="AP18" i="10" l="1"/>
  <c r="AP19" i="10"/>
  <c r="AL18" i="10"/>
  <c r="AL19" i="10"/>
  <c r="AO19" i="10"/>
  <c r="AO18" i="10"/>
  <c r="AM18" i="10"/>
  <c r="AM19" i="10"/>
  <c r="AK19" i="10"/>
  <c r="AN19" i="10"/>
  <c r="AN18" i="10"/>
  <c r="AJ18" i="10"/>
  <c r="AJ19" i="10"/>
  <c r="AS6" i="10"/>
  <c r="AV6" i="10" s="1"/>
  <c r="AS9" i="10"/>
  <c r="AV9" i="10" s="1"/>
  <c r="AS7" i="10"/>
  <c r="AU7" i="10" s="1"/>
  <c r="BR5" i="10" s="1"/>
  <c r="AS12" i="10"/>
  <c r="AS8" i="10"/>
  <c r="AU6" i="10"/>
  <c r="AS10" i="10"/>
  <c r="AS11" i="10"/>
  <c r="AU9" i="10" l="1"/>
  <c r="BR7" i="10" s="1"/>
  <c r="AV7" i="10"/>
  <c r="BR4" i="10"/>
  <c r="AV12" i="10"/>
  <c r="AU12" i="10"/>
  <c r="BN10" i="10" s="1"/>
  <c r="AU11" i="10"/>
  <c r="BP9" i="10" s="1"/>
  <c r="AV11" i="10"/>
  <c r="AU10" i="10"/>
  <c r="BP8" i="10" s="1"/>
  <c r="AV10" i="10"/>
  <c r="AV8" i="10"/>
  <c r="AU8" i="10"/>
  <c r="BP6" i="10" s="1"/>
  <c r="AG12" i="9"/>
  <c r="AM12" i="9" s="1"/>
  <c r="AE12" i="9"/>
  <c r="AD12" i="9"/>
  <c r="AC12" i="9"/>
  <c r="AA12" i="9"/>
  <c r="AL12" i="9" s="1"/>
  <c r="AJ12" i="9" l="1"/>
  <c r="AK12" i="9"/>
  <c r="AU14" i="10"/>
  <c r="AW14" i="10" l="1"/>
  <c r="AW8" i="10" s="1"/>
  <c r="AW7" i="10"/>
  <c r="AW6" i="10"/>
  <c r="AW10" i="10"/>
  <c r="AW11" i="10"/>
  <c r="AW12" i="10"/>
  <c r="AG11" i="9"/>
  <c r="AD11" i="9"/>
  <c r="Y11" i="9"/>
  <c r="AA11" i="9" s="1"/>
  <c r="BT10" i="9"/>
  <c r="AG10" i="9"/>
  <c r="AC10" i="9"/>
  <c r="Z10" i="9"/>
  <c r="AK10" i="9" s="1"/>
  <c r="BT9" i="9"/>
  <c r="AG9" i="9"/>
  <c r="Z9" i="9"/>
  <c r="AD9" i="9" s="1"/>
  <c r="Y9" i="9"/>
  <c r="K9" i="9"/>
  <c r="BT8" i="9"/>
  <c r="AG8" i="9"/>
  <c r="AM46" i="9" s="1"/>
  <c r="AB8" i="9"/>
  <c r="AA8" i="9"/>
  <c r="K8" i="9"/>
  <c r="BT7" i="9"/>
  <c r="AU24" i="10" l="1"/>
  <c r="AZ8" i="10"/>
  <c r="AX8" i="10"/>
  <c r="AU28" i="10"/>
  <c r="AZ12" i="10"/>
  <c r="AX12" i="10"/>
  <c r="AU26" i="10"/>
  <c r="AZ10" i="10"/>
  <c r="AX10" i="10"/>
  <c r="AU23" i="10"/>
  <c r="AZ7" i="10"/>
  <c r="AX7" i="10"/>
  <c r="AU27" i="10"/>
  <c r="AZ11" i="10"/>
  <c r="AX11" i="10"/>
  <c r="AW9" i="10"/>
  <c r="AU22" i="10"/>
  <c r="AZ6" i="10"/>
  <c r="AX6" i="10"/>
  <c r="AL8" i="9"/>
  <c r="AY8" i="10"/>
  <c r="BV6" i="10" s="1"/>
  <c r="AM9" i="9"/>
  <c r="AM97" i="9"/>
  <c r="AM70" i="9"/>
  <c r="AJ10" i="9"/>
  <c r="AM71" i="9"/>
  <c r="AK11" i="9"/>
  <c r="AM98" i="9"/>
  <c r="AM10" i="9"/>
  <c r="AM8" i="9"/>
  <c r="AA9" i="9"/>
  <c r="AL9" i="9" s="1"/>
  <c r="AD8" i="9"/>
  <c r="AK8" i="9"/>
  <c r="AK9" i="9"/>
  <c r="AE10" i="9"/>
  <c r="AC8" i="9"/>
  <c r="AE8" i="9"/>
  <c r="AJ8" i="9"/>
  <c r="AC9" i="9"/>
  <c r="AE9" i="9"/>
  <c r="AJ9" i="9"/>
  <c r="AA10" i="9"/>
  <c r="AL10" i="9" s="1"/>
  <c r="AD10" i="9"/>
  <c r="AC11" i="9"/>
  <c r="AE11" i="9"/>
  <c r="AJ11" i="9"/>
  <c r="AM11" i="9"/>
  <c r="AL11" i="9" s="1"/>
  <c r="AY11" i="10"/>
  <c r="BV9" i="10" s="1"/>
  <c r="AY6" i="10"/>
  <c r="AY9" i="10"/>
  <c r="BV7" i="10" s="1"/>
  <c r="AY12" i="10"/>
  <c r="BV10" i="10" s="1"/>
  <c r="AY10" i="10"/>
  <c r="BV8" i="10" s="1"/>
  <c r="AY7" i="10"/>
  <c r="BV5" i="10" s="1"/>
  <c r="AU25" i="10" l="1"/>
  <c r="AZ9" i="10"/>
  <c r="AX9" i="10"/>
  <c r="BD8" i="10"/>
  <c r="BV4" i="10"/>
  <c r="BV11" i="10" s="1"/>
  <c r="AG7" i="9"/>
  <c r="AB7" i="9"/>
  <c r="AD7" i="9" s="1"/>
  <c r="Y7" i="9"/>
  <c r="S7" i="9"/>
  <c r="Q7" i="9"/>
  <c r="O7" i="9"/>
  <c r="M7" i="9"/>
  <c r="AG6" i="9"/>
  <c r="AJ6" i="9" s="1"/>
  <c r="AB6" i="9"/>
  <c r="Z6" i="9"/>
  <c r="AK6" i="9" s="1"/>
  <c r="P6" i="9"/>
  <c r="N6" i="9"/>
  <c r="K6" i="9"/>
  <c r="BD5" i="9"/>
  <c r="AG5" i="9"/>
  <c r="AB5" i="9"/>
  <c r="AM5" i="9" s="1"/>
  <c r="Z5" i="9"/>
  <c r="AK5" i="9" s="1"/>
  <c r="Y5" i="9"/>
  <c r="AJ5" i="9" s="1"/>
  <c r="R5" i="9"/>
  <c r="N5" i="9"/>
  <c r="K5" i="9"/>
  <c r="BD4" i="9"/>
  <c r="AT4" i="9"/>
  <c r="AS4" i="9"/>
  <c r="P4" i="9"/>
  <c r="N4" i="9"/>
  <c r="AJ7" i="9" l="1"/>
  <c r="AG13" i="9"/>
  <c r="AU5" i="9" s="1"/>
  <c r="BV3" i="9" s="1"/>
  <c r="AM95" i="9"/>
  <c r="AM68" i="9"/>
  <c r="AM43" i="9"/>
  <c r="AM6" i="9"/>
  <c r="AM19" i="9" s="1"/>
  <c r="AM69" i="9"/>
  <c r="AM44" i="9"/>
  <c r="AM45" i="9"/>
  <c r="AM96" i="9"/>
  <c r="AA6" i="9"/>
  <c r="AC6" i="9"/>
  <c r="AA7" i="9"/>
  <c r="AC7" i="9"/>
  <c r="AM7" i="9"/>
  <c r="AE6" i="9"/>
  <c r="AE7" i="9"/>
  <c r="AJ18" i="9"/>
  <c r="AJ19" i="9"/>
  <c r="AM18" i="9"/>
  <c r="BR8" i="9"/>
  <c r="BP10" i="9"/>
  <c r="BR9" i="9"/>
  <c r="BR10" i="9"/>
  <c r="AL6" i="9"/>
  <c r="BT4" i="9"/>
  <c r="AA5" i="9"/>
  <c r="AL5" i="9" s="1"/>
  <c r="AC5" i="9"/>
  <c r="AE5" i="9"/>
  <c r="AP5" i="9" s="1"/>
  <c r="BT5" i="9"/>
  <c r="AD6" i="9"/>
  <c r="BR6" i="9"/>
  <c r="AK7" i="9"/>
  <c r="AS6" i="9" s="1"/>
  <c r="AD5" i="9"/>
  <c r="BT6" i="9"/>
  <c r="AL7" i="9"/>
  <c r="AP6" i="9" l="1"/>
  <c r="AO6" i="9" s="1"/>
  <c r="AN6" i="9" s="1"/>
  <c r="AU6" i="9"/>
  <c r="BR4" i="9" s="1"/>
  <c r="AV6" i="9"/>
  <c r="AO5" i="9"/>
  <c r="AL19" i="9"/>
  <c r="AL18" i="9"/>
  <c r="AS8" i="9"/>
  <c r="AS9" i="9"/>
  <c r="AK18" i="9"/>
  <c r="AK19" i="9"/>
  <c r="AP9" i="9" l="1"/>
  <c r="AO9" i="9" s="1"/>
  <c r="AN9" i="9" s="1"/>
  <c r="AU9" i="9"/>
  <c r="BR7" i="9" s="1"/>
  <c r="AV9" i="9"/>
  <c r="AP8" i="9"/>
  <c r="AO8" i="9" s="1"/>
  <c r="AN8" i="9" s="1"/>
  <c r="AV8" i="9"/>
  <c r="AU8" i="9"/>
  <c r="BP6" i="9" s="1"/>
  <c r="AN5" i="9"/>
  <c r="AO7" i="9"/>
  <c r="AO10" i="9"/>
  <c r="AO11" i="9"/>
  <c r="AO12" i="9"/>
  <c r="AP7" i="9"/>
  <c r="AP10" i="9"/>
  <c r="AP11" i="9"/>
  <c r="AP12" i="9"/>
  <c r="AN7" i="9"/>
  <c r="AN10" i="9"/>
  <c r="AN11" i="9"/>
  <c r="AN12" i="9"/>
  <c r="AN18" i="9"/>
  <c r="AO18" i="9"/>
  <c r="AS7" i="9"/>
  <c r="AU7" i="9" s="1"/>
  <c r="BR5" i="9" s="1"/>
  <c r="AP18" i="9"/>
  <c r="AV7" i="9" l="1"/>
  <c r="AP19" i="9"/>
  <c r="AO19" i="9"/>
  <c r="AN19" i="9"/>
  <c r="AS12" i="9"/>
  <c r="AU12" i="9" s="1"/>
  <c r="BN10" i="9" s="1"/>
  <c r="AS10" i="9"/>
  <c r="AV10" i="9" s="1"/>
  <c r="AS11" i="9"/>
  <c r="AV11" i="9" s="1"/>
  <c r="AU11" i="9"/>
  <c r="BP9" i="9" s="1"/>
  <c r="AV12" i="9" l="1"/>
  <c r="AU10" i="9"/>
  <c r="BP8" i="9" s="1"/>
  <c r="AU14" i="9"/>
  <c r="AW14" i="9" s="1"/>
  <c r="AW11" i="9" s="1"/>
  <c r="AZ11" i="9" s="1"/>
  <c r="AU28" i="9" l="1"/>
  <c r="AX11" i="9"/>
  <c r="AW12" i="9"/>
  <c r="AZ12" i="9" s="1"/>
  <c r="AW10" i="9"/>
  <c r="AZ10" i="9" s="1"/>
  <c r="AY11" i="9"/>
  <c r="BV9" i="9" s="1"/>
  <c r="AY10" i="9"/>
  <c r="BV8" i="9" s="1"/>
  <c r="AW8" i="9"/>
  <c r="AZ8" i="9" s="1"/>
  <c r="AW9" i="9"/>
  <c r="AZ9" i="9" s="1"/>
  <c r="AW6" i="9"/>
  <c r="AZ6" i="9" s="1"/>
  <c r="AW7" i="9"/>
  <c r="AZ7" i="9" s="1"/>
  <c r="AU24" i="9" l="1"/>
  <c r="AX7" i="9"/>
  <c r="AU26" i="9"/>
  <c r="AX9" i="9"/>
  <c r="AU27" i="9"/>
  <c r="AX10" i="9"/>
  <c r="AU23" i="9"/>
  <c r="AX6" i="9"/>
  <c r="AU25" i="9"/>
  <c r="AX8" i="9"/>
  <c r="AU29" i="9"/>
  <c r="AX12" i="9"/>
  <c r="AY12" i="9"/>
  <c r="BV10" i="9" s="1"/>
  <c r="AY9" i="9"/>
  <c r="BV7" i="9" s="1"/>
  <c r="AY6" i="9"/>
  <c r="AY8" i="9"/>
  <c r="BV6" i="9" s="1"/>
  <c r="AY7" i="9"/>
  <c r="BV5" i="9" s="1"/>
  <c r="BD8" i="9" l="1"/>
  <c r="BV4" i="9"/>
  <c r="BV11" i="9" s="1"/>
  <c r="AI5" i="12"/>
  <c r="AI19" i="12" l="1"/>
  <c r="AI18" i="12"/>
  <c r="AM11" i="12"/>
  <c r="AA13" i="12"/>
  <c r="AO5" i="12" s="1"/>
  <c r="AE5" i="12"/>
  <c r="AD5" i="12"/>
  <c r="AG5" i="12"/>
  <c r="AJ5" i="12"/>
  <c r="AH5" i="12"/>
  <c r="AF5" i="12"/>
  <c r="AM27" i="12" l="1"/>
  <c r="AP11" i="12"/>
  <c r="BP3" i="12"/>
  <c r="AO21" i="12"/>
  <c r="AF18" i="12"/>
  <c r="AF19" i="12"/>
  <c r="AM8" i="12"/>
  <c r="AJ19" i="12"/>
  <c r="AJ18" i="12"/>
  <c r="AM12" i="12"/>
  <c r="AD19" i="12"/>
  <c r="AD18" i="12"/>
  <c r="AM6" i="12"/>
  <c r="AE18" i="12"/>
  <c r="AM7" i="12"/>
  <c r="AE19" i="12"/>
  <c r="AO11" i="12"/>
  <c r="AH18" i="12"/>
  <c r="AH19" i="12"/>
  <c r="AM10" i="12"/>
  <c r="AG19" i="12"/>
  <c r="AG18" i="12"/>
  <c r="AM9" i="12"/>
  <c r="AP27" i="12" l="1"/>
  <c r="AR11" i="12"/>
  <c r="AS11" i="12" s="1"/>
  <c r="AM26" i="12"/>
  <c r="AP10" i="12"/>
  <c r="AM25" i="12"/>
  <c r="AP9" i="12"/>
  <c r="BJ9" i="12"/>
  <c r="AO27" i="12"/>
  <c r="AP7" i="12"/>
  <c r="AM23" i="12"/>
  <c r="AM22" i="12"/>
  <c r="AP6" i="12"/>
  <c r="AM24" i="12"/>
  <c r="AP8" i="12"/>
  <c r="AP12" i="12"/>
  <c r="AO10" i="12"/>
  <c r="AO7" i="12"/>
  <c r="AO6" i="12"/>
  <c r="AO22" i="12" s="1"/>
  <c r="AO8" i="12"/>
  <c r="AO9" i="12"/>
  <c r="AO12" i="12"/>
  <c r="BH10" i="12" s="1"/>
  <c r="AP22" i="12" l="1"/>
  <c r="AR6" i="12"/>
  <c r="AS6" i="12" s="1"/>
  <c r="AP25" i="12"/>
  <c r="AR9" i="12"/>
  <c r="AS9" i="12" s="1"/>
  <c r="AP26" i="12"/>
  <c r="AR10" i="12"/>
  <c r="AS10" i="12" s="1"/>
  <c r="AP24" i="12"/>
  <c r="AR8" i="12"/>
  <c r="AS8" i="12" s="1"/>
  <c r="AP32" i="12"/>
  <c r="AR32" i="12" s="1"/>
  <c r="AR27" i="12" s="1"/>
  <c r="AU27" i="12" s="1"/>
  <c r="AR12" i="12"/>
  <c r="AS12" i="12" s="1"/>
  <c r="AR7" i="12"/>
  <c r="AS7" i="12" s="1"/>
  <c r="BJ6" i="12"/>
  <c r="AO24" i="12"/>
  <c r="BL7" i="12"/>
  <c r="AO25" i="12"/>
  <c r="BJ8" i="12"/>
  <c r="AO26" i="12"/>
  <c r="AP13" i="12"/>
  <c r="AP23" i="12"/>
  <c r="BL5" i="12"/>
  <c r="AO23" i="12"/>
  <c r="AP29" i="12"/>
  <c r="BL4" i="12"/>
  <c r="AR23" i="12" l="1"/>
  <c r="AU23" i="12" s="1"/>
  <c r="AR24" i="12"/>
  <c r="AU24" i="12" s="1"/>
  <c r="AR25" i="12"/>
  <c r="AU25" i="12" s="1"/>
  <c r="AT27" i="12"/>
  <c r="AS27" i="12"/>
  <c r="AR26" i="12"/>
  <c r="AU26" i="12" s="1"/>
  <c r="AR22" i="12"/>
  <c r="AU22" i="12" s="1"/>
  <c r="AS23" i="12"/>
  <c r="AS24" i="12"/>
  <c r="AT24" i="12"/>
  <c r="AS25" i="12"/>
  <c r="AT25" i="12" l="1"/>
  <c r="BP7" i="12" s="1"/>
  <c r="AT23" i="12"/>
  <c r="BP5" i="12" s="1"/>
  <c r="AT26" i="12"/>
  <c r="AS26" i="12"/>
  <c r="AT22" i="12"/>
  <c r="BP4" i="12" s="1"/>
  <c r="AS22" i="12"/>
  <c r="BP11" i="12" l="1"/>
</calcChain>
</file>

<file path=xl/comments1.xml><?xml version="1.0" encoding="utf-8"?>
<comments xmlns="http://schemas.openxmlformats.org/spreadsheetml/2006/main">
  <authors>
    <author>Autor</author>
  </authors>
  <commentList>
    <comment ref="AP4" authorId="0">
      <text>
        <r>
          <rPr>
            <b/>
            <sz val="9"/>
            <color indexed="81"/>
            <rFont val="Tahoma"/>
            <family val="2"/>
          </rPr>
          <t xml:space="preserve">basiert urpsprünglich auf 16 Versuchen </t>
        </r>
      </text>
    </comment>
    <comment ref="AP20" authorId="0">
      <text>
        <r>
          <rPr>
            <b/>
            <sz val="9"/>
            <color indexed="81"/>
            <rFont val="Tahoma"/>
            <family val="2"/>
          </rPr>
          <t xml:space="preserve">basiert urpsprünglich auf 16 Versuchen </t>
        </r>
      </text>
    </comment>
  </commentList>
</comments>
</file>

<file path=xl/sharedStrings.xml><?xml version="1.0" encoding="utf-8"?>
<sst xmlns="http://schemas.openxmlformats.org/spreadsheetml/2006/main" count="682" uniqueCount="131">
  <si>
    <t>A</t>
  </si>
  <si>
    <t>B</t>
  </si>
  <si>
    <t>AB</t>
  </si>
  <si>
    <t>a</t>
  </si>
  <si>
    <t>b</t>
  </si>
  <si>
    <t>ab</t>
  </si>
  <si>
    <t>Zielgröße</t>
  </si>
  <si>
    <t>c</t>
  </si>
  <si>
    <t>ac</t>
  </si>
  <si>
    <t>bc</t>
  </si>
  <si>
    <t>abc</t>
  </si>
  <si>
    <t xml:space="preserve">C </t>
  </si>
  <si>
    <t>AC</t>
  </si>
  <si>
    <t>BC</t>
  </si>
  <si>
    <t>ABC</t>
  </si>
  <si>
    <t>I</t>
  </si>
  <si>
    <t>Vorzeichen der Wirkungen</t>
  </si>
  <si>
    <t>(g)</t>
  </si>
  <si>
    <t>Wirkungen</t>
  </si>
  <si>
    <t>Faktor</t>
  </si>
  <si>
    <t>Art des Faktors</t>
  </si>
  <si>
    <t>Maßeinheit</t>
  </si>
  <si>
    <t>Niveauwerte</t>
  </si>
  <si>
    <t>niedrig</t>
  </si>
  <si>
    <t>hoch</t>
  </si>
  <si>
    <t>C</t>
  </si>
  <si>
    <t>Temperatur</t>
  </si>
  <si>
    <t>°C</t>
  </si>
  <si>
    <t>quantitativ</t>
  </si>
  <si>
    <t>qualitativ</t>
  </si>
  <si>
    <t>Konzentration</t>
  </si>
  <si>
    <t>%</t>
  </si>
  <si>
    <t>Katalysator</t>
  </si>
  <si>
    <t>Kat X</t>
  </si>
  <si>
    <t>Kat Y</t>
  </si>
  <si>
    <t>dimensionslos</t>
  </si>
  <si>
    <t>Koeff.</t>
  </si>
  <si>
    <t>F-Test-Ergebnis</t>
  </si>
  <si>
    <r>
      <t>SS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=MS</t>
    </r>
    <r>
      <rPr>
        <vertAlign val="subscript"/>
        <sz val="11"/>
        <color theme="1"/>
        <rFont val="Calibri"/>
        <family val="2"/>
        <scheme val="minor"/>
      </rPr>
      <t>I</t>
    </r>
  </si>
  <si>
    <t>Bezeichnung</t>
  </si>
  <si>
    <r>
      <t>F=MS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/MS</t>
    </r>
    <r>
      <rPr>
        <vertAlign val="subscript"/>
        <sz val="11"/>
        <color theme="1"/>
        <rFont val="Calibri"/>
        <family val="2"/>
        <scheme val="minor"/>
      </rPr>
      <t>R</t>
    </r>
  </si>
  <si>
    <t>y=</t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</si>
  <si>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bis b</t>
    </r>
    <r>
      <rPr>
        <vertAlign val="subscript"/>
        <sz val="11"/>
        <color theme="1"/>
        <rFont val="Calibri"/>
        <family val="2"/>
        <scheme val="minor"/>
      </rPr>
      <t>7</t>
    </r>
  </si>
  <si>
    <t>Niveaus</t>
  </si>
  <si>
    <t>*</t>
  </si>
  <si>
    <t>=</t>
  </si>
  <si>
    <t>y</t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</si>
  <si>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</si>
  <si>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</si>
  <si>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</si>
  <si>
    <r>
      <t>b</t>
    </r>
    <r>
      <rPr>
        <vertAlign val="subscript"/>
        <sz val="11"/>
        <color theme="1"/>
        <rFont val="Calibri"/>
        <family val="2"/>
        <scheme val="minor"/>
      </rPr>
      <t>3</t>
    </r>
  </si>
  <si>
    <r>
      <t>b</t>
    </r>
    <r>
      <rPr>
        <vertAlign val="subscript"/>
        <sz val="11"/>
        <color theme="1"/>
        <rFont val="Calibri"/>
        <family val="2"/>
        <scheme val="minor"/>
      </rPr>
      <t>4</t>
    </r>
  </si>
  <si>
    <r>
      <t>b</t>
    </r>
    <r>
      <rPr>
        <vertAlign val="subscript"/>
        <sz val="11"/>
        <color theme="1"/>
        <rFont val="Calibri"/>
        <family val="2"/>
        <scheme val="minor"/>
      </rPr>
      <t>5</t>
    </r>
  </si>
  <si>
    <r>
      <t>b</t>
    </r>
    <r>
      <rPr>
        <vertAlign val="subscript"/>
        <sz val="11"/>
        <color theme="1"/>
        <rFont val="Calibri"/>
        <family val="2"/>
        <scheme val="minor"/>
      </rPr>
      <t>6</t>
    </r>
  </si>
  <si>
    <r>
      <t>b</t>
    </r>
    <r>
      <rPr>
        <vertAlign val="subscript"/>
        <sz val="11"/>
        <color theme="1"/>
        <rFont val="Calibri"/>
        <family val="2"/>
        <scheme val="minor"/>
      </rPr>
      <t>7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</si>
  <si>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</si>
  <si>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</si>
  <si>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</si>
  <si>
    <r>
      <t>x</t>
    </r>
    <r>
      <rPr>
        <vertAlign val="subscript"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</si>
  <si>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</si>
  <si>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</si>
  <si>
    <r>
      <t>= x</t>
    </r>
    <r>
      <rPr>
        <vertAlign val="subscript"/>
        <sz val="11"/>
        <color theme="1"/>
        <rFont val="Calibri"/>
        <family val="2"/>
        <scheme val="minor"/>
      </rPr>
      <t>A</t>
    </r>
  </si>
  <si>
    <r>
      <t>= x</t>
    </r>
    <r>
      <rPr>
        <vertAlign val="subscript"/>
        <sz val="11"/>
        <color theme="1"/>
        <rFont val="Calibri"/>
        <family val="2"/>
        <scheme val="minor"/>
      </rPr>
      <t>B</t>
    </r>
  </si>
  <si>
    <r>
      <t>= x</t>
    </r>
    <r>
      <rPr>
        <vertAlign val="subscript"/>
        <sz val="11"/>
        <color theme="1"/>
        <rFont val="Calibri"/>
        <family val="2"/>
        <scheme val="minor"/>
      </rPr>
      <t>C</t>
    </r>
  </si>
  <si>
    <t>Berechnung der Wirkungen</t>
  </si>
  <si>
    <t xml:space="preserve">Menge in </t>
  </si>
  <si>
    <t>kg</t>
  </si>
  <si>
    <t>Zielgröße:</t>
  </si>
  <si>
    <t>(-1)</t>
  </si>
  <si>
    <t>(+1)</t>
  </si>
  <si>
    <r>
      <t>SS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</si>
  <si>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=</t>
    </r>
  </si>
  <si>
    <t>a=</t>
  </si>
  <si>
    <r>
      <t>F</t>
    </r>
    <r>
      <rPr>
        <vertAlign val="subscript"/>
        <sz val="11"/>
        <color theme="1"/>
        <rFont val="Calibri"/>
        <family val="2"/>
        <scheme val="minor"/>
      </rPr>
      <t>1-</t>
    </r>
    <r>
      <rPr>
        <vertAlign val="sub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(1,f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)=</t>
    </r>
  </si>
  <si>
    <r>
      <t>MS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=SS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=</t>
    </r>
  </si>
  <si>
    <t>Wechselwirkung AB</t>
  </si>
  <si>
    <t>Wechselwirkung AC</t>
  </si>
  <si>
    <t>Wechselwirkung BC</t>
  </si>
  <si>
    <t>Versuchsergebnisse:</t>
  </si>
  <si>
    <t>Eingabe der Faktoren und Niveaus</t>
  </si>
  <si>
    <t>Eingabe der Versuchsergebnisse</t>
  </si>
  <si>
    <t>Berechnung und grafische Darstellung der Wirkungen und Wechselwirkungen</t>
  </si>
  <si>
    <t>Signifikanz der Wirkungen und Wechselwirkungen (Varianzanalyse) und Vorhersagegleichung</t>
  </si>
  <si>
    <r>
      <t xml:space="preserve">B </t>
    </r>
    <r>
      <rPr>
        <vertAlign val="subscript"/>
        <sz val="11"/>
        <color theme="1"/>
        <rFont val="Calibri"/>
        <family val="2"/>
        <scheme val="minor"/>
      </rPr>
      <t>niedrig</t>
    </r>
  </si>
  <si>
    <r>
      <t xml:space="preserve">B </t>
    </r>
    <r>
      <rPr>
        <vertAlign val="subscript"/>
        <sz val="11"/>
        <color theme="1"/>
        <rFont val="Calibri"/>
        <family val="2"/>
        <scheme val="minor"/>
      </rPr>
      <t>hoch</t>
    </r>
  </si>
  <si>
    <r>
      <t xml:space="preserve">C </t>
    </r>
    <r>
      <rPr>
        <vertAlign val="subscript"/>
        <sz val="11"/>
        <color theme="1"/>
        <rFont val="Calibri"/>
        <family val="2"/>
        <scheme val="minor"/>
      </rPr>
      <t>niedrig</t>
    </r>
  </si>
  <si>
    <r>
      <t>C</t>
    </r>
    <r>
      <rPr>
        <vertAlign val="subscript"/>
        <sz val="11"/>
        <color theme="1"/>
        <rFont val="Calibri"/>
        <family val="2"/>
        <scheme val="minor"/>
      </rPr>
      <t xml:space="preserve"> hoch</t>
    </r>
  </si>
  <si>
    <r>
      <t xml:space="preserve">C </t>
    </r>
    <r>
      <rPr>
        <vertAlign val="subscript"/>
        <sz val="11"/>
        <color theme="1"/>
        <rFont val="Calibri"/>
        <family val="2"/>
        <scheme val="minor"/>
      </rPr>
      <t>hoch</t>
    </r>
  </si>
  <si>
    <t>kN</t>
  </si>
  <si>
    <t>Adhäsionskraft in</t>
  </si>
  <si>
    <t>Beschichtungsdicke</t>
  </si>
  <si>
    <t>g/m²</t>
  </si>
  <si>
    <t>Anpressdruck</t>
  </si>
  <si>
    <t>N/cm²</t>
  </si>
  <si>
    <t>Anpressdauer</t>
  </si>
  <si>
    <t>h</t>
  </si>
  <si>
    <t xml:space="preserve">Schnittstellen </t>
  </si>
  <si>
    <t>wie bisher</t>
  </si>
  <si>
    <t>reduziert</t>
  </si>
  <si>
    <t>Parallelarbeit</t>
  </si>
  <si>
    <t>Lieferantenauswahl</t>
  </si>
  <si>
    <t>Mittlere Versuchsergebnisse y (Faktoren auf niedrigem bzw. hohem Niveau)</t>
  </si>
  <si>
    <t>Rücklaufverhältnis</t>
  </si>
  <si>
    <t>Verdampferleistung</t>
  </si>
  <si>
    <t>kcal/h</t>
  </si>
  <si>
    <t>Zulaufkonzentration</t>
  </si>
  <si>
    <t>y1</t>
  </si>
  <si>
    <t>y2</t>
  </si>
  <si>
    <t>yquer</t>
  </si>
  <si>
    <r>
      <t>f</t>
    </r>
    <r>
      <rPr>
        <vertAlign val="subscript"/>
        <sz val="11"/>
        <color theme="1"/>
        <rFont val="Calibri"/>
        <family val="2"/>
        <scheme val="minor"/>
      </rPr>
      <t>I</t>
    </r>
  </si>
  <si>
    <r>
      <t>F</t>
    </r>
    <r>
      <rPr>
        <vertAlign val="subscript"/>
        <sz val="11"/>
        <color theme="1"/>
        <rFont val="Calibri"/>
        <family val="2"/>
        <scheme val="minor"/>
      </rPr>
      <t>1-</t>
    </r>
    <r>
      <rPr>
        <vertAlign val="sub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(1,</t>
    </r>
  </si>
  <si>
    <t>)=</t>
  </si>
  <si>
    <t>Aus dem 2hoch4-Vplan "Destillationskonzentrationen" wurde ein doppelt ausgeführter 2hoch3-Vplan</t>
  </si>
  <si>
    <t>Rest1</t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</si>
  <si>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</si>
  <si>
    <r>
      <t>MS</t>
    </r>
    <r>
      <rPr>
        <vertAlign val="subscript"/>
        <sz val="11"/>
        <color theme="1"/>
        <rFont val="Calibri"/>
        <family val="2"/>
        <scheme val="minor"/>
      </rPr>
      <t>R</t>
    </r>
  </si>
  <si>
    <t>Rest2</t>
  </si>
  <si>
    <t>Hilfstabelle für Grafik F-Werte</t>
  </si>
  <si>
    <t>F-Grenzwert</t>
  </si>
  <si>
    <t>Durchlaufzeit in Tagen</t>
  </si>
  <si>
    <t>vermehrt</t>
  </si>
  <si>
    <t>schneller</t>
  </si>
  <si>
    <t>Versuch</t>
  </si>
  <si>
    <t>Durchlaufzeit [Tage]</t>
  </si>
  <si>
    <t>Summe</t>
  </si>
  <si>
    <t>Abw.Q.</t>
  </si>
  <si>
    <t xml:space="preserve">Konzentration in </t>
  </si>
  <si>
    <t>p</t>
  </si>
  <si>
    <t>Thomas Elser: Faktorielle Versuchsplanung</t>
  </si>
  <si>
    <t>Anleitung zur Benutzung der Tabellenblätter</t>
  </si>
  <si>
    <t>(2 hoch 3 Versuchspläne)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</si>
</sst>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"/>
    <numFmt numFmtId="167" formatCode="0.000000"/>
    <numFmt numFmtId="168" formatCode="0.00000000000"/>
    <numFmt numFmtId="169" formatCode="0.00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Symbol"/>
      <family val="1"/>
      <charset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/>
    <xf numFmtId="0" fontId="0" fillId="3" borderId="1" xfId="0" applyFill="1" applyBorder="1"/>
    <xf numFmtId="166" fontId="0" fillId="0" borderId="0" xfId="0" applyNumberFormat="1"/>
    <xf numFmtId="165" fontId="0" fillId="0" borderId="1" xfId="0" applyNumberFormat="1" applyBorder="1"/>
    <xf numFmtId="2" fontId="1" fillId="0" borderId="1" xfId="0" applyNumberFormat="1" applyFont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3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0" fontId="0" fillId="5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2" xfId="0" applyFill="1" applyBorder="1"/>
    <xf numFmtId="165" fontId="0" fillId="5" borderId="12" xfId="0" applyNumberFormat="1" applyFill="1" applyBorder="1"/>
    <xf numFmtId="2" fontId="0" fillId="5" borderId="12" xfId="0" applyNumberFormat="1" applyFill="1" applyBorder="1"/>
    <xf numFmtId="0" fontId="0" fillId="5" borderId="13" xfId="0" quotePrefix="1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165" fontId="0" fillId="5" borderId="3" xfId="0" applyNumberFormat="1" applyFill="1" applyBorder="1"/>
    <xf numFmtId="0" fontId="0" fillId="0" borderId="5" xfId="0" applyBorder="1"/>
    <xf numFmtId="0" fontId="0" fillId="4" borderId="1" xfId="0" applyFill="1" applyBorder="1"/>
    <xf numFmtId="0" fontId="0" fillId="4" borderId="12" xfId="0" applyFill="1" applyBorder="1" applyAlignment="1"/>
    <xf numFmtId="0" fontId="0" fillId="4" borderId="13" xfId="0" applyFill="1" applyBorder="1" applyAlignment="1"/>
    <xf numFmtId="0" fontId="0" fillId="5" borderId="8" xfId="0" applyFill="1" applyBorder="1" applyAlignment="1"/>
    <xf numFmtId="0" fontId="0" fillId="5" borderId="10" xfId="0" applyFill="1" applyBorder="1" applyAlignment="1"/>
    <xf numFmtId="0" fontId="0" fillId="5" borderId="9" xfId="0" applyFill="1" applyBorder="1" applyAlignment="1"/>
    <xf numFmtId="0" fontId="0" fillId="5" borderId="0" xfId="0" applyFill="1"/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/>
    <xf numFmtId="166" fontId="0" fillId="0" borderId="4" xfId="0" applyNumberFormat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2" fontId="0" fillId="3" borderId="4" xfId="0" applyNumberFormat="1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165" fontId="0" fillId="3" borderId="4" xfId="0" applyNumberFormat="1" applyFill="1" applyBorder="1" applyAlignment="1">
      <alignment horizontal="left"/>
    </xf>
    <xf numFmtId="167" fontId="0" fillId="0" borderId="1" xfId="0" applyNumberFormat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0" borderId="6" xfId="0" applyNumberFormat="1" applyBorder="1" applyAlignment="1">
      <alignment horizontal="right"/>
    </xf>
    <xf numFmtId="0" fontId="0" fillId="5" borderId="2" xfId="0" applyFill="1" applyBorder="1" applyAlignment="1">
      <alignment horizontal="right"/>
    </xf>
    <xf numFmtId="165" fontId="0" fillId="5" borderId="4" xfId="0" applyNumberFormat="1" applyFill="1" applyBorder="1"/>
    <xf numFmtId="0" fontId="0" fillId="5" borderId="3" xfId="0" quotePrefix="1" applyFill="1" applyBorder="1"/>
    <xf numFmtId="0" fontId="0" fillId="7" borderId="1" xfId="0" applyFill="1" applyBorder="1" applyAlignment="1">
      <alignment horizont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64" fontId="0" fillId="5" borderId="4" xfId="0" applyNumberFormat="1" applyFill="1" applyBorder="1" applyAlignment="1"/>
    <xf numFmtId="164" fontId="0" fillId="5" borderId="2" xfId="0" applyNumberFormat="1" applyFill="1" applyBorder="1" applyAlignment="1">
      <alignment horizontal="right"/>
    </xf>
    <xf numFmtId="0" fontId="0" fillId="6" borderId="12" xfId="0" applyFill="1" applyBorder="1"/>
    <xf numFmtId="2" fontId="0" fillId="0" borderId="1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5" borderId="0" xfId="0" applyFill="1" applyBorder="1" applyAlignment="1">
      <alignment horizontal="center"/>
    </xf>
    <xf numFmtId="0" fontId="0" fillId="8" borderId="0" xfId="0" applyFill="1"/>
    <xf numFmtId="0" fontId="5" fillId="8" borderId="0" xfId="0" applyFont="1" applyFill="1"/>
    <xf numFmtId="0" fontId="6" fillId="8" borderId="0" xfId="0" applyFont="1" applyFill="1"/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/>
    <xf numFmtId="0" fontId="0" fillId="4" borderId="0" xfId="0" applyFill="1" applyBorder="1"/>
    <xf numFmtId="0" fontId="0" fillId="4" borderId="14" xfId="0" applyFill="1" applyBorder="1" applyAlignment="1"/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3" xfId="0" applyFill="1" applyBorder="1"/>
    <xf numFmtId="0" fontId="0" fillId="4" borderId="7" xfId="0" applyFill="1" applyBorder="1" applyAlignment="1">
      <alignment horizontal="center"/>
    </xf>
    <xf numFmtId="165" fontId="0" fillId="0" borderId="4" xfId="0" applyNumberFormat="1" applyBorder="1"/>
    <xf numFmtId="0" fontId="0" fillId="4" borderId="3" xfId="0" applyFill="1" applyBorder="1" applyAlignment="1">
      <alignment vertical="center"/>
    </xf>
    <xf numFmtId="167" fontId="0" fillId="0" borderId="0" xfId="0" applyNumberFormat="1"/>
    <xf numFmtId="165" fontId="0" fillId="6" borderId="0" xfId="0" applyNumberFormat="1" applyFill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/>
    <xf numFmtId="2" fontId="0" fillId="3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0" borderId="0" xfId="0" applyNumberFormat="1"/>
    <xf numFmtId="165" fontId="0" fillId="5" borderId="0" xfId="0" applyNumberFormat="1" applyFill="1" applyBorder="1" applyAlignment="1">
      <alignment horizontal="center"/>
    </xf>
    <xf numFmtId="165" fontId="0" fillId="0" borderId="0" xfId="0" applyNumberFormat="1"/>
    <xf numFmtId="3" fontId="0" fillId="3" borderId="1" xfId="0" applyNumberFormat="1" applyFill="1" applyBorder="1" applyAlignment="1">
      <alignment horizontal="center"/>
    </xf>
    <xf numFmtId="1" fontId="1" fillId="0" borderId="1" xfId="0" applyNumberFormat="1" applyFont="1" applyBorder="1"/>
    <xf numFmtId="168" fontId="1" fillId="0" borderId="1" xfId="0" applyNumberFormat="1" applyFont="1" applyBorder="1"/>
    <xf numFmtId="2" fontId="0" fillId="0" borderId="2" xfId="0" applyNumberFormat="1" applyBorder="1"/>
    <xf numFmtId="2" fontId="0" fillId="3" borderId="3" xfId="0" applyNumberForma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2" fontId="0" fillId="4" borderId="4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right"/>
    </xf>
    <xf numFmtId="2" fontId="1" fillId="0" borderId="1" xfId="0" applyNumberFormat="1" applyFont="1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2" fontId="0" fillId="0" borderId="15" xfId="0" applyNumberFormat="1" applyBorder="1"/>
    <xf numFmtId="1" fontId="0" fillId="0" borderId="15" xfId="0" applyNumberFormat="1" applyBorder="1"/>
    <xf numFmtId="0" fontId="3" fillId="4" borderId="3" xfId="0" applyFont="1" applyFill="1" applyBorder="1" applyAlignment="1">
      <alignment horizontal="right"/>
    </xf>
    <xf numFmtId="166" fontId="0" fillId="3" borderId="4" xfId="0" applyNumberForma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9" xfId="0" applyFill="1" applyBorder="1" applyAlignment="1">
      <alignment horizontal="left"/>
    </xf>
    <xf numFmtId="0" fontId="0" fillId="5" borderId="8" xfId="0" applyFill="1" applyBorder="1" applyAlignment="1">
      <alignment horizontal="right"/>
    </xf>
    <xf numFmtId="0" fontId="0" fillId="4" borderId="2" xfId="0" applyFill="1" applyBorder="1" applyAlignment="1"/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5" borderId="0" xfId="0" applyFill="1" applyAlignment="1"/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1" xfId="0" applyFill="1" applyBorder="1"/>
    <xf numFmtId="166" fontId="0" fillId="0" borderId="1" xfId="0" applyNumberFormat="1" applyBorder="1"/>
    <xf numFmtId="0" fontId="3" fillId="4" borderId="1" xfId="0" applyFont="1" applyFill="1" applyBorder="1" applyAlignment="1">
      <alignment horizontal="right"/>
    </xf>
    <xf numFmtId="0" fontId="0" fillId="4" borderId="1" xfId="0" applyFill="1" applyBorder="1" applyAlignment="1"/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65" fontId="0" fillId="5" borderId="4" xfId="0" applyNumberFormat="1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6" borderId="0" xfId="0" applyFill="1" applyBorder="1"/>
    <xf numFmtId="0" fontId="0" fillId="6" borderId="10" xfId="0" applyFill="1" applyBorder="1"/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13" xfId="0" applyFill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right" vertical="center"/>
    </xf>
    <xf numFmtId="0" fontId="0" fillId="3" borderId="4" xfId="0" applyFill="1" applyBorder="1" applyAlignment="1">
      <alignment horizontal="left" vertical="center"/>
    </xf>
    <xf numFmtId="166" fontId="0" fillId="0" borderId="2" xfId="0" applyNumberFormat="1" applyBorder="1"/>
    <xf numFmtId="0" fontId="0" fillId="5" borderId="1" xfId="0" applyFill="1" applyBorder="1"/>
    <xf numFmtId="165" fontId="0" fillId="5" borderId="1" xfId="0" applyNumberFormat="1" applyFill="1" applyBorder="1"/>
    <xf numFmtId="169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6" borderId="0" xfId="0" applyFill="1"/>
    <xf numFmtId="0" fontId="6" fillId="8" borderId="0" xfId="0" applyFont="1" applyFill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66" fontId="0" fillId="0" borderId="13" xfId="0" applyNumberFormat="1" applyBorder="1" applyAlignment="1">
      <alignment horizontal="left" vertical="center"/>
    </xf>
    <xf numFmtId="166" fontId="0" fillId="0" borderId="9" xfId="0" applyNumberFormat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7" fontId="0" fillId="0" borderId="13" xfId="0" applyNumberFormat="1" applyBorder="1" applyAlignment="1">
      <alignment horizontal="left" vertical="center"/>
    </xf>
    <xf numFmtId="167" fontId="0" fillId="0" borderId="9" xfId="0" applyNumberFormat="1" applyBorder="1" applyAlignment="1">
      <alignment horizontal="left" vertical="center"/>
    </xf>
  </cellXfs>
  <cellStyles count="1">
    <cellStyle name="Standard" xfId="0" builtinId="0"/>
  </cellStyles>
  <dxfs count="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AC: y=f(A) mit Parameter C</a:t>
            </a:r>
            <a:endParaRPr lang="de-DE"/>
          </a:p>
        </c:rich>
      </c:tx>
      <c:layout>
        <c:manualLayout>
          <c:xMode val="edge"/>
          <c:yMode val="edge"/>
          <c:x val="0.35066714754085498"/>
          <c:y val="2.9100424946881639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2727204062"/>
          <c:y val="0.19246344206974128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Produktmenge_Chemiereaktor!$AJ$68:$AJ$69</c:f>
              <c:strCache>
                <c:ptCount val="1"/>
                <c:pt idx="0">
                  <c:v>Katalysator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1571279916753387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Produktmenge_Chemiereaktor!$AM$68:$AM$69</c:f>
              <c:numCache>
                <c:formatCode>0.0</c:formatCode>
                <c:ptCount val="2"/>
                <c:pt idx="0">
                  <c:v>64.5</c:v>
                </c:pt>
                <c:pt idx="1">
                  <c:v>79.5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Produktmenge_Chemiereaktor!$AJ$70:$AJ$71</c:f>
              <c:strCache>
                <c:ptCount val="1"/>
                <c:pt idx="0">
                  <c:v>Katalysator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7408949011446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Produktmenge_Chemiereaktor!$AM$70:$AM$71</c:f>
              <c:numCache>
                <c:formatCode>0.0</c:formatCode>
                <c:ptCount val="2"/>
                <c:pt idx="0">
                  <c:v>55</c:v>
                </c:pt>
                <c:pt idx="1">
                  <c:v>92.5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21184"/>
        <c:axId val="245599040"/>
      </c:scatterChart>
      <c:valAx>
        <c:axId val="18842118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45599040"/>
        <c:crosses val="autoZero"/>
        <c:crossBetween val="midCat"/>
        <c:majorUnit val="0.5"/>
        <c:minorUnit val="0.5"/>
      </c:valAx>
      <c:valAx>
        <c:axId val="245599040"/>
        <c:scaling>
          <c:orientation val="minMax"/>
          <c:max val="10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Produktmenge [kg]</a:t>
                </a:r>
              </a:p>
            </c:rich>
          </c:tx>
          <c:layout>
            <c:manualLayout>
              <c:xMode val="edge"/>
              <c:yMode val="edge"/>
              <c:x val="4.9947970863683661E-2"/>
              <c:y val="2.99728158980127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8421184"/>
        <c:crossesAt val="-2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51803463995312748"/>
          <c:y val="0.56543025871766028"/>
          <c:w val="0.30001040041601668"/>
          <c:h val="0.272187851518560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F-Werte der Wirkungen</a:t>
            </a:r>
          </a:p>
        </c:rich>
      </c:tx>
      <c:layout>
        <c:manualLayout>
          <c:xMode val="edge"/>
          <c:yMode val="edge"/>
          <c:x val="0.39013964784456601"/>
          <c:y val="5.896807417905142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780617586736101"/>
          <c:y val="0.16286641590187881"/>
          <c:w val="0.8135660638048654"/>
          <c:h val="0.74004365597932664"/>
        </c:manualLayout>
      </c:layout>
      <c:scatterChart>
        <c:scatterStyle val="lineMarker"/>
        <c:varyColors val="0"/>
        <c:ser>
          <c:idx val="1"/>
          <c:order val="0"/>
          <c:tx>
            <c:strRef>
              <c:f>Adhaesion_Verklebung!$AV$18</c:f>
              <c:strCache>
                <c:ptCount val="1"/>
                <c:pt idx="0">
                  <c:v>F1-a(1,fR)=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F= 10,1280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0</c:v>
              </c:pt>
              <c:pt idx="1">
                <c:v>9</c:v>
              </c:pt>
            </c:numLit>
          </c:xVal>
          <c:yVal>
            <c:numRef>
              <c:f>(Adhaesion_Verklebung!$AW$18,Adhaesion_Verklebung!$AW$18)</c:f>
              <c:numCache>
                <c:formatCode>0.0000</c:formatCode>
                <c:ptCount val="2"/>
                <c:pt idx="0">
                  <c:v>10.127964486013932</c:v>
                </c:pt>
                <c:pt idx="1">
                  <c:v>10.127964486013932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Adhaesion_Verklebung!$AS$22</c:f>
              <c:strCache>
                <c:ptCount val="1"/>
                <c:pt idx="0">
                  <c:v>A</c:v>
                </c:pt>
              </c:strCache>
            </c:strRef>
          </c:tx>
          <c:spPr>
            <a:ln w="127000" cap="sq" cmpd="sng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xVal>
          <c:yVal>
            <c:numRef>
              <c:f>Adhaesion_Verklebung!$AT$22:$AU$22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31.006079027355675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Adhaesion_Verklebung!$AS$23</c:f>
              <c:strCache>
                <c:ptCount val="1"/>
                <c:pt idx="0">
                  <c:v>B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xVal>
          <c:yVal>
            <c:numRef>
              <c:f>Adhaesion_Verklebung!$AT$23:$AU$23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4.6231003039513707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Adhaesion_Verklebung!$AS$24</c:f>
              <c:strCache>
                <c:ptCount val="1"/>
                <c:pt idx="0">
                  <c:v>AB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xVal>
          <c:yVal>
            <c:numRef>
              <c:f>Adhaesion_Verklebung!$AT$24:$AU$24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12.063829787234075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Adhaesion_Verklebung!$AS$25</c:f>
              <c:strCache>
                <c:ptCount val="1"/>
                <c:pt idx="0">
                  <c:v>C 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xVal>
          <c:yVal>
            <c:numRef>
              <c:f>Adhaesion_Verklebung!$AT$25:$AU$25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104.02735562310045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Adhaesion_Verklebung!$AS$26</c:f>
              <c:strCache>
                <c:ptCount val="1"/>
                <c:pt idx="0">
                  <c:v>AC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xVal>
          <c:yVal>
            <c:numRef>
              <c:f>Adhaesion_Verklebung!$AT$26:$AU$26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0.36778115501519898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Adhaesion_Verklebung!$AS$27</c:f>
              <c:strCache>
                <c:ptCount val="1"/>
                <c:pt idx="0">
                  <c:v>BC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xVal>
          <c:yVal>
            <c:numRef>
              <c:f>Adhaesion_Verklebung!$AT$27:$AU$27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2.5562310030395143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Adhaesion_Verklebung!$AS$28</c:f>
              <c:strCache>
                <c:ptCount val="1"/>
                <c:pt idx="0">
                  <c:v>ABC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xVal>
          <c:yVal>
            <c:numRef>
              <c:f>Adhaesion_Verklebung!$AT$28:$AU$28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7.5987841945286697E-2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82080896"/>
        <c:axId val="282081472"/>
      </c:scatterChart>
      <c:valAx>
        <c:axId val="282080896"/>
        <c:scaling>
          <c:orientation val="minMax"/>
          <c:max val="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282081472"/>
        <c:crosses val="autoZero"/>
        <c:crossBetween val="midCat"/>
      </c:valAx>
      <c:valAx>
        <c:axId val="28208147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820808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AC: y=f(A) mit Parameter C</a:t>
            </a:r>
            <a:endParaRPr lang="de-DE"/>
          </a:p>
        </c:rich>
      </c:tx>
      <c:layout>
        <c:manualLayout>
          <c:xMode val="edge"/>
          <c:yMode val="edge"/>
          <c:x val="0.27573582943317732"/>
          <c:y val="5.227281801042475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8905622367"/>
          <c:y val="0.18927773464936601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Durchlaufzeit_Angebot!$AK$68:$AK$69</c:f>
              <c:strCache>
                <c:ptCount val="1"/>
                <c:pt idx="0">
                  <c:v>Lieferantenauswahl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043161726469052E-2"/>
                  <c:y val="1.877904698532401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Durchlaufzeit_Angebot!$AN$68:$AN$69</c:f>
              <c:numCache>
                <c:formatCode>0.0</c:formatCode>
                <c:ptCount val="2"/>
                <c:pt idx="0">
                  <c:v>6.1999999999999993</c:v>
                </c:pt>
                <c:pt idx="1">
                  <c:v>7.8000000000000007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Durchlaufzeit_Angebot!$AK$70:$AK$71</c:f>
              <c:strCache>
                <c:ptCount val="1"/>
                <c:pt idx="0">
                  <c:v>Lieferantenauswahl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69630785231409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 algn="ctr" rtl="0">
                  <a:defRPr lang="de-DE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Durchlaufzeit_Angebot!$AN$70:$AN$71</c:f>
              <c:numCache>
                <c:formatCode>0.0</c:formatCode>
                <c:ptCount val="2"/>
                <c:pt idx="0">
                  <c:v>6.75</c:v>
                </c:pt>
                <c:pt idx="1">
                  <c:v>8.3000000000000007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534464"/>
        <c:axId val="282535040"/>
      </c:scatterChart>
      <c:valAx>
        <c:axId val="28253446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2535040"/>
        <c:crosses val="autoZero"/>
        <c:crossBetween val="midCat"/>
        <c:majorUnit val="0.5"/>
        <c:minorUnit val="0.5"/>
      </c:valAx>
      <c:valAx>
        <c:axId val="282535040"/>
        <c:scaling>
          <c:orientation val="minMax"/>
          <c:max val="10"/>
          <c:min val="4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Durchlaufzeit</a:t>
                </a:r>
                <a:br>
                  <a:rPr lang="de-DE"/>
                </a:br>
                <a:r>
                  <a:rPr lang="de-DE"/>
                  <a:t>[Tage]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0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2534464"/>
        <c:crossesAt val="-2"/>
        <c:crossBetween val="midCat"/>
      </c:valAx>
    </c:plotArea>
    <c:legend>
      <c:legendPos val="r"/>
      <c:layout>
        <c:manualLayout>
          <c:xMode val="edge"/>
          <c:yMode val="edge"/>
          <c:x val="0.40665673933615443"/>
          <c:y val="0.62318790432886029"/>
          <c:w val="0.37905356214248664"/>
          <c:h val="0.1650449943757033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AB: y=f(A) mit Parameter B</a:t>
            </a:r>
            <a:endParaRPr lang="de-DE"/>
          </a:p>
        </c:rich>
      </c:tx>
      <c:layout>
        <c:manualLayout>
          <c:xMode val="edge"/>
          <c:yMode val="edge"/>
          <c:x val="0.26049930186183823"/>
          <c:y val="2.951307086614173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103877225955181"/>
          <c:y val="0.18271748031496066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Durchlaufzeit_Angebot!$AK$45:$AK$46</c:f>
              <c:strCache>
                <c:ptCount val="1"/>
                <c:pt idx="0">
                  <c:v>Parallelarbeit B hoch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6562662506500267E-2"/>
                  <c:y val="-3.2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Durchlaufzeit_Angebot!$AN$45:$AN$46</c:f>
              <c:numCache>
                <c:formatCode>0.0</c:formatCode>
                <c:ptCount val="2"/>
                <c:pt idx="0">
                  <c:v>8.1</c:v>
                </c:pt>
                <c:pt idx="1">
                  <c:v>9.8000000000000007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Durchlaufzeit_Angebot!$AK$43:$AK$44</c:f>
              <c:strCache>
                <c:ptCount val="1"/>
                <c:pt idx="0">
                  <c:v>Parallelarbeit B niedrig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032241289651586E-2"/>
                  <c:y val="3.2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Durchlaufzeit_Angebot!$AN$43:$AN$44</c:f>
              <c:numCache>
                <c:formatCode>0.0</c:formatCode>
                <c:ptCount val="2"/>
                <c:pt idx="0">
                  <c:v>4.8499999999999996</c:v>
                </c:pt>
                <c:pt idx="1">
                  <c:v>6.3000000000000007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537344"/>
        <c:axId val="282537920"/>
      </c:scatterChart>
      <c:valAx>
        <c:axId val="28253734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2537920"/>
        <c:crosses val="autoZero"/>
        <c:crossBetween val="midCat"/>
        <c:majorUnit val="0.5"/>
        <c:minorUnit val="0.5"/>
      </c:valAx>
      <c:valAx>
        <c:axId val="282537920"/>
        <c:scaling>
          <c:orientation val="minMax"/>
          <c:max val="10"/>
          <c:min val="4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Durchlaufzeit</a:t>
                </a:r>
                <a:br>
                  <a:rPr lang="de-DE"/>
                </a:br>
                <a:r>
                  <a:rPr lang="de-DE"/>
                  <a:t>[Tage]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1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2537344"/>
        <c:crossesAt val="-2"/>
        <c:crossBetween val="midCat"/>
      </c:valAx>
    </c:plotArea>
    <c:legend>
      <c:legendPos val="r"/>
      <c:layout>
        <c:manualLayout>
          <c:xMode val="edge"/>
          <c:yMode val="edge"/>
          <c:x val="0.45440248540361022"/>
          <c:y val="0.34520804899387575"/>
          <c:w val="0.34369214768590745"/>
          <c:h val="0.188854518185226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BC: y=f(B) mit Parameter C</a:t>
            </a:r>
            <a:endParaRPr lang="de-DE"/>
          </a:p>
        </c:rich>
      </c:tx>
      <c:layout>
        <c:manualLayout>
          <c:xMode val="edge"/>
          <c:yMode val="edge"/>
          <c:x val="0.24343213728549143"/>
          <c:y val="3.703691584006544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8905622367"/>
          <c:y val="0.17796120939428026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Durchlaufzeit_Angebot!$AK$95:$AK$96</c:f>
              <c:strCache>
                <c:ptCount val="1"/>
                <c:pt idx="0">
                  <c:v>Lieferantenauswahl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6562662506500267E-2"/>
                  <c:y val="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Durchlaufzeit_Angebot!$AN$95:$AN$96</c:f>
              <c:numCache>
                <c:formatCode>0.0</c:formatCode>
                <c:ptCount val="2"/>
                <c:pt idx="0">
                  <c:v>5.4</c:v>
                </c:pt>
                <c:pt idx="1">
                  <c:v>8.6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Durchlaufzeit_Angebot!$AK$97:$AK$98</c:f>
              <c:strCache>
                <c:ptCount val="1"/>
                <c:pt idx="0">
                  <c:v>Lieferantenauswahl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4482579303172124E-2"/>
                  <c:y val="-2.077922077922077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Durchlaufzeit_Angebot!$AN$97:$AN$98</c:f>
              <c:numCache>
                <c:formatCode>0.0</c:formatCode>
                <c:ptCount val="2"/>
                <c:pt idx="0">
                  <c:v>5.75</c:v>
                </c:pt>
                <c:pt idx="1">
                  <c:v>9.3000000000000007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540224"/>
        <c:axId val="282540800"/>
      </c:scatterChart>
      <c:valAx>
        <c:axId val="28254022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2540800"/>
        <c:crosses val="autoZero"/>
        <c:crossBetween val="midCat"/>
        <c:majorUnit val="0.5"/>
        <c:minorUnit val="0.5"/>
      </c:valAx>
      <c:valAx>
        <c:axId val="282540800"/>
        <c:scaling>
          <c:orientation val="minMax"/>
          <c:max val="10"/>
          <c:min val="4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Durchlaufzeit</a:t>
                </a:r>
                <a:br>
                  <a:rPr lang="de-DE"/>
                </a:br>
                <a:r>
                  <a:rPr lang="de-DE"/>
                  <a:t>[Tage]</a:t>
                </a:r>
              </a:p>
            </c:rich>
          </c:tx>
          <c:layout>
            <c:manualLayout>
              <c:xMode val="edge"/>
              <c:yMode val="edge"/>
              <c:x val="4.0038724667613261E-2"/>
              <c:y val="2.099383031666496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2540224"/>
        <c:crossesAt val="-2"/>
        <c:crossBetween val="midCat"/>
      </c:valAx>
    </c:plotArea>
    <c:legend>
      <c:legendPos val="r"/>
      <c:layout>
        <c:manualLayout>
          <c:xMode val="edge"/>
          <c:yMode val="edge"/>
          <c:x val="0.38104886479354022"/>
          <c:y val="0.61506957084909841"/>
          <c:w val="0.40609464378575144"/>
          <c:h val="0.18091801024871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Hauptwirkungen A, B und C</a:t>
            </a:r>
          </a:p>
        </c:rich>
      </c:tx>
      <c:layout>
        <c:manualLayout>
          <c:xMode val="edge"/>
          <c:yMode val="edge"/>
          <c:x val="0.33581547339695123"/>
          <c:y val="3.6288105496246933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233613182458152"/>
          <c:y val="0.18325416870061054"/>
          <c:w val="0.63874293858963005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Durchlaufzeit_Angebot!$AK$16:$AK$17</c:f>
              <c:strCache>
                <c:ptCount val="1"/>
                <c:pt idx="0">
                  <c:v>A Schnittstellen 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6092715231788103E-2"/>
                  <c:y val="7.187780772686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300220750551061E-3"/>
                  <c:y val="-2.1563342318059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Durchlaufzeit_Angebot!$AK$18:$AK$19</c:f>
              <c:numCache>
                <c:formatCode>0.00</c:formatCode>
                <c:ptCount val="2"/>
                <c:pt idx="0">
                  <c:v>6.4749999999999996</c:v>
                </c:pt>
                <c:pt idx="1">
                  <c:v>8.0500000000000007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Durchlaufzeit_Angebot!$AL$16:$AL$17</c:f>
              <c:strCache>
                <c:ptCount val="1"/>
                <c:pt idx="0">
                  <c:v>B Parallelarbeit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60927152317881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225165562913101E-3"/>
                  <c:y val="3.234501347708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Durchlaufzeit_Angebot!$AL$18:$AL$19</c:f>
              <c:numCache>
                <c:formatCode>0.00</c:formatCode>
                <c:ptCount val="2"/>
                <c:pt idx="0">
                  <c:v>5.5750000000000002</c:v>
                </c:pt>
                <c:pt idx="1">
                  <c:v>8.9499999999999993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Durchlaufzeit_Angebot!$AN$16:$AN$17</c:f>
              <c:strCache>
                <c:ptCount val="1"/>
                <c:pt idx="0">
                  <c:v>C  Lieferantenauswahl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0507900088647883E-2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2251655629131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Durchlaufzeit_Angebot!$AJ$18:$AJ$19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Durchlaufzeit_Angebot!$AN$18:$AN$19</c:f>
              <c:numCache>
                <c:formatCode>0.00</c:formatCode>
                <c:ptCount val="2"/>
                <c:pt idx="0">
                  <c:v>7</c:v>
                </c:pt>
                <c:pt idx="1">
                  <c:v>7.5249999999999995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81952"/>
        <c:axId val="280782528"/>
      </c:scatterChart>
      <c:valAx>
        <c:axId val="280781952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0782528"/>
        <c:crosses val="autoZero"/>
        <c:crossBetween val="midCat"/>
        <c:majorUnit val="0.5"/>
        <c:minorUnit val="0.5"/>
      </c:valAx>
      <c:valAx>
        <c:axId val="280782528"/>
        <c:scaling>
          <c:orientation val="minMax"/>
          <c:max val="10"/>
          <c:min val="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Durchlaufzeit [Tage]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0781952"/>
        <c:crossesAt val="-2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495046075444949"/>
          <c:y val="0.56515935508061499"/>
          <c:w val="0.3199669743268847"/>
          <c:h val="0.2835779403314230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20" b="1" i="0" u="none" strike="noStrike" baseline="0"/>
              <a:t>Wirkungsdiagramm </a:t>
            </a:r>
            <a:r>
              <a:rPr lang="en-US"/>
              <a:t> AC (Interaction Plot)</a:t>
            </a:r>
          </a:p>
        </c:rich>
      </c:tx>
      <c:layout>
        <c:manualLayout>
          <c:xMode val="edge"/>
          <c:yMode val="edge"/>
          <c:x val="0.50038481539261559"/>
          <c:y val="4.100518685164382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2654849429"/>
          <c:y val="0.13293963254593336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'Dest.Konz. (doppelt ausgeführt)'!$AD$68:$AD$69</c:f>
              <c:strCache>
                <c:ptCount val="1"/>
                <c:pt idx="0">
                  <c:v>Zulaufkonzentration C niedrig</c:v>
                </c:pt>
              </c:strCache>
            </c:strRef>
          </c:tx>
          <c:spPr>
            <a:ln w="22225" cmpd="sng">
              <a:prstDash val="dash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ausgeführt)'!$AG$68:$AG$69</c:f>
              <c:numCache>
                <c:formatCode>0.0</c:formatCode>
                <c:ptCount val="2"/>
                <c:pt idx="0">
                  <c:v>79.525000000000006</c:v>
                </c:pt>
                <c:pt idx="1">
                  <c:v>81.174999999999997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'Dest.Konz. (doppelt ausgeführt)'!$AD$70:$AD$71</c:f>
              <c:strCache>
                <c:ptCount val="1"/>
                <c:pt idx="0">
                  <c:v>Zulaufkonzentration C hoch</c:v>
                </c:pt>
              </c:strCache>
            </c:strRef>
          </c:tx>
          <c:spPr>
            <a:ln w="22225">
              <a:prstDash val="solid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ausgeführt)'!$AG$70:$AG$71</c:f>
              <c:numCache>
                <c:formatCode>0.0</c:formatCode>
                <c:ptCount val="2"/>
                <c:pt idx="0">
                  <c:v>80.375</c:v>
                </c:pt>
                <c:pt idx="1">
                  <c:v>85.125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84832"/>
        <c:axId val="280785408"/>
      </c:scatterChart>
      <c:valAx>
        <c:axId val="280784832"/>
        <c:scaling>
          <c:orientation val="minMax"/>
          <c:max val="1.5"/>
          <c:min val="-1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Niveau von A</a:t>
                </a:r>
              </a:p>
            </c:rich>
          </c:tx>
          <c:layout>
            <c:manualLayout>
              <c:xMode val="edge"/>
              <c:yMode val="edge"/>
              <c:x val="0.75160956674487966"/>
              <c:y val="0.8465541807274060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80785408"/>
        <c:crosses val="autoZero"/>
        <c:crossBetween val="midCat"/>
        <c:majorUnit val="0.5"/>
        <c:minorUnit val="0.5"/>
      </c:valAx>
      <c:valAx>
        <c:axId val="280785408"/>
        <c:scaling>
          <c:orientation val="minMax"/>
          <c:max val="86"/>
          <c:min val="7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Zielgröße y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02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80784832"/>
        <c:crossesAt val="-2"/>
        <c:crossBetween val="midCat"/>
        <c:majorUnit val="1"/>
        <c:minorUnit val="1"/>
      </c:valAx>
    </c:plotArea>
    <c:legend>
      <c:legendPos val="r"/>
      <c:layout>
        <c:manualLayout>
          <c:xMode val="edge"/>
          <c:yMode val="edge"/>
          <c:x val="0.67888445301591682"/>
          <c:y val="0.25987470316210537"/>
          <c:w val="0.31249089963598664"/>
          <c:h val="0.3515529308836398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Wirkungsdiagramm AB (Interaction Plot)</a:t>
            </a:r>
          </a:p>
        </c:rich>
      </c:tx>
      <c:layout>
        <c:manualLayout>
          <c:xMode val="edge"/>
          <c:yMode val="edge"/>
          <c:x val="0.51791991679667182"/>
          <c:y val="3.3068678915135603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2654849437"/>
          <c:y val="0.13293963254593344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'Dest.Konz. (doppelt ausgeführt)'!$AD$45:$AD$46</c:f>
              <c:strCache>
                <c:ptCount val="1"/>
                <c:pt idx="0">
                  <c:v>Verdampferleistung B hoch</c:v>
                </c:pt>
              </c:strCache>
            </c:strRef>
          </c:tx>
          <c:spPr>
            <a:ln w="22225" cmpd="sng"/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ausgeführt)'!$AG$45:$AG$46</c:f>
              <c:numCache>
                <c:formatCode>0.0</c:formatCode>
                <c:ptCount val="2"/>
                <c:pt idx="0">
                  <c:v>77.462500000000006</c:v>
                </c:pt>
                <c:pt idx="1">
                  <c:v>82.699999999999989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'Dest.Konz. (doppelt ausgeführt)'!$AD$43:$AD$44</c:f>
              <c:strCache>
                <c:ptCount val="1"/>
                <c:pt idx="0">
                  <c:v>Verdampferleistung B niedrig</c:v>
                </c:pt>
              </c:strCache>
            </c:strRef>
          </c:tx>
          <c:spPr>
            <a:ln w="22225">
              <a:prstDash val="dash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ausgeführt)'!$AG$43:$AG$44</c:f>
              <c:numCache>
                <c:formatCode>0.0</c:formatCode>
                <c:ptCount val="2"/>
                <c:pt idx="0">
                  <c:v>82.4375</c:v>
                </c:pt>
                <c:pt idx="1">
                  <c:v>83.6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87712"/>
        <c:axId val="280788288"/>
      </c:scatterChart>
      <c:valAx>
        <c:axId val="280787712"/>
        <c:scaling>
          <c:orientation val="minMax"/>
          <c:max val="1.5"/>
          <c:min val="-1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Niveau von A</a:t>
                </a:r>
              </a:p>
            </c:rich>
          </c:tx>
          <c:layout>
            <c:manualLayout>
              <c:xMode val="edge"/>
              <c:yMode val="edge"/>
              <c:x val="0.75368964994820264"/>
              <c:y val="0.85052243469566302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80788288"/>
        <c:crosses val="autoZero"/>
        <c:crossBetween val="midCat"/>
        <c:majorUnit val="0.5"/>
        <c:minorUnit val="0.5"/>
      </c:valAx>
      <c:valAx>
        <c:axId val="280788288"/>
        <c:scaling>
          <c:orientation val="minMax"/>
          <c:max val="86"/>
          <c:min val="7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Zielgröße y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16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80787712"/>
        <c:crossesAt val="-2"/>
        <c:crossBetween val="midCat"/>
        <c:majorUnit val="1"/>
        <c:minorUnit val="1"/>
      </c:valAx>
    </c:plotArea>
    <c:legend>
      <c:legendPos val="r"/>
      <c:layout>
        <c:manualLayout>
          <c:xMode val="edge"/>
          <c:yMode val="edge"/>
          <c:x val="0.61024170730608984"/>
          <c:y val="0.51384295713035866"/>
          <c:w val="0.34785231409256462"/>
          <c:h val="0.188854518185226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320" b="1" i="0" u="none" strike="noStrike" baseline="0"/>
              <a:t>Wirkungsdiagramm </a:t>
            </a:r>
            <a:r>
              <a:rPr lang="en-US"/>
              <a:t> BC (Interaction Plot)</a:t>
            </a:r>
          </a:p>
        </c:rich>
      </c:tx>
      <c:layout>
        <c:manualLayout>
          <c:xMode val="edge"/>
          <c:yMode val="edge"/>
          <c:x val="0.52627136896499449"/>
          <c:y val="3.7036932883389877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2654849437"/>
          <c:y val="0.13293963254593344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'Dest.Konz. (doppelt ausgeführt)'!$AD$95:$AD$96</c:f>
              <c:strCache>
                <c:ptCount val="1"/>
                <c:pt idx="0">
                  <c:v>Zulaufkonzentration C niedrig</c:v>
                </c:pt>
              </c:strCache>
            </c:strRef>
          </c:tx>
          <c:spPr>
            <a:ln w="22225" cmpd="sng">
              <a:prstDash val="dash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ausgeführt)'!$AG$95:$AG$96</c:f>
              <c:numCache>
                <c:formatCode>0.0</c:formatCode>
                <c:ptCount val="2"/>
                <c:pt idx="0">
                  <c:v>82.237500000000011</c:v>
                </c:pt>
                <c:pt idx="1">
                  <c:v>78.462500000000006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'Dest.Konz. (doppelt ausgeführt)'!$AD$97:$AD$98</c:f>
              <c:strCache>
                <c:ptCount val="1"/>
                <c:pt idx="0">
                  <c:v>Zulaufkonzentration C hoch</c:v>
                </c:pt>
              </c:strCache>
            </c:strRef>
          </c:tx>
          <c:spPr>
            <a:ln w="22225">
              <a:prstDash val="solid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ausgeführt)'!$AG$97:$AG$98</c:f>
              <c:numCache>
                <c:formatCode>0.0</c:formatCode>
                <c:ptCount val="2"/>
                <c:pt idx="0">
                  <c:v>83.800000000000011</c:v>
                </c:pt>
                <c:pt idx="1">
                  <c:v>81.7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74336"/>
        <c:axId val="280774912"/>
      </c:scatterChart>
      <c:valAx>
        <c:axId val="280774336"/>
        <c:scaling>
          <c:orientation val="minMax"/>
          <c:max val="1.5"/>
          <c:min val="-1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Niveau von B</a:t>
                </a:r>
              </a:p>
            </c:rich>
          </c:tx>
          <c:layout>
            <c:manualLayout>
              <c:xMode val="edge"/>
              <c:yMode val="edge"/>
              <c:x val="0.75368964994820264"/>
              <c:y val="0.85052243469566302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80774912"/>
        <c:crosses val="autoZero"/>
        <c:crossBetween val="midCat"/>
        <c:majorUnit val="0.5"/>
        <c:minorUnit val="0.5"/>
      </c:valAx>
      <c:valAx>
        <c:axId val="280774912"/>
        <c:scaling>
          <c:orientation val="minMax"/>
          <c:max val="86"/>
          <c:min val="7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Zielgröße y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16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80774336"/>
        <c:crossesAt val="-2"/>
        <c:crossBetween val="midCat"/>
        <c:majorUnit val="1"/>
        <c:minorUnit val="1"/>
      </c:valAx>
    </c:plotArea>
    <c:legend>
      <c:legendPos val="r"/>
      <c:layout>
        <c:manualLayout>
          <c:xMode val="edge"/>
          <c:yMode val="edge"/>
          <c:x val="0.61232179050941749"/>
          <c:y val="0.35114454443194593"/>
          <c:w val="0.33745189807592407"/>
          <c:h val="0.192822772153480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Hauptwirkungen A, B und C  (Main Effects Plot)</a:t>
            </a:r>
          </a:p>
        </c:rich>
      </c:tx>
      <c:layout>
        <c:manualLayout>
          <c:xMode val="edge"/>
          <c:yMode val="edge"/>
          <c:x val="0.28504290429043055"/>
          <c:y val="2.9100424946881413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895862654849468"/>
          <c:y val="0.13293963254593383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'Dest.Konz. (doppelt ausgeführt)'!$AD$16:$AD$17</c:f>
              <c:strCache>
                <c:ptCount val="1"/>
                <c:pt idx="0">
                  <c:v>A Rücklaufverhältnis</c:v>
                </c:pt>
              </c:strCache>
            </c:strRef>
          </c:tx>
          <c:spPr>
            <a:ln w="22225" cmpd="sng"/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ausgeführt)'!$AD$18:$AD$19</c:f>
              <c:numCache>
                <c:formatCode>0.00</c:formatCode>
                <c:ptCount val="2"/>
                <c:pt idx="0">
                  <c:v>79.95</c:v>
                </c:pt>
                <c:pt idx="1">
                  <c:v>83.15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'Dest.Konz. (doppelt ausgeführt)'!$AE$16:$AE$17</c:f>
              <c:strCache>
                <c:ptCount val="1"/>
                <c:pt idx="0">
                  <c:v>B Verdampferleistung</c:v>
                </c:pt>
              </c:strCache>
            </c:strRef>
          </c:tx>
          <c:spPr>
            <a:ln w="22225">
              <a:prstDash val="dash"/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ausgeführt)'!$AE$18:$AE$19</c:f>
              <c:numCache>
                <c:formatCode>0.00</c:formatCode>
                <c:ptCount val="2"/>
                <c:pt idx="0">
                  <c:v>83.018750000000011</c:v>
                </c:pt>
                <c:pt idx="1">
                  <c:v>80.081250000000011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'Dest.Konz. (doppelt ausgeführt)'!$AG$16:$AG$17</c:f>
              <c:strCache>
                <c:ptCount val="1"/>
                <c:pt idx="0">
                  <c:v>C  Zulaufkonzentration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ysDot"/>
            </a:ln>
          </c:spPr>
          <c:marker>
            <c:spPr>
              <a:solidFill>
                <a:sysClr val="windowText" lastClr="000000"/>
              </a:solidFill>
            </c:spPr>
          </c:marker>
          <c:dPt>
            <c:idx val="1"/>
            <c:marker>
              <c:symbol val="triangle"/>
              <c:size val="7"/>
            </c:marker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'Dest.Konz. (doppelt ausgeführt)'!$AC$18:$AC$19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'Dest.Konz. (doppelt ausgeführt)'!$AG$18:$AG$19</c:f>
              <c:numCache>
                <c:formatCode>0.00</c:formatCode>
                <c:ptCount val="2"/>
                <c:pt idx="0">
                  <c:v>80.350000000000009</c:v>
                </c:pt>
                <c:pt idx="1">
                  <c:v>82.75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777216"/>
        <c:axId val="280777792"/>
      </c:scatterChart>
      <c:valAx>
        <c:axId val="280777216"/>
        <c:scaling>
          <c:orientation val="minMax"/>
          <c:max val="1.5"/>
          <c:min val="-1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Niveau</a:t>
                </a:r>
              </a:p>
            </c:rich>
          </c:tx>
          <c:layout>
            <c:manualLayout>
              <c:xMode val="edge"/>
              <c:yMode val="edge"/>
              <c:x val="0.75368964994820264"/>
              <c:y val="0.85052243469566302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80777792"/>
        <c:crosses val="autoZero"/>
        <c:crossBetween val="midCat"/>
        <c:majorUnit val="0.5"/>
        <c:minorUnit val="0.5"/>
      </c:valAx>
      <c:valAx>
        <c:axId val="280777792"/>
        <c:scaling>
          <c:orientation val="minMax"/>
          <c:max val="86"/>
          <c:min val="78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Zielgröße y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0777216"/>
        <c:crossesAt val="-2"/>
        <c:crossBetween val="midCat"/>
        <c:majorUnit val="1"/>
        <c:minorUnit val="1"/>
      </c:valAx>
    </c:plotArea>
    <c:legend>
      <c:legendPos val="r"/>
      <c:layout>
        <c:manualLayout>
          <c:xMode val="edge"/>
          <c:yMode val="edge"/>
          <c:x val="0.67348021066903285"/>
          <c:y val="0.49425988911149432"/>
          <c:w val="0.30892944673306588"/>
          <c:h val="0.2914674866825078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AB: y=f(A) mit Parameter B</a:t>
            </a:r>
          </a:p>
        </c:rich>
      </c:tx>
      <c:layout>
        <c:manualLayout>
          <c:xMode val="edge"/>
          <c:yMode val="edge"/>
          <c:x val="0.32746049593345417"/>
          <c:y val="3.30686789151356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697109045652212"/>
          <c:y val="0.20833645794275715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Produktmenge_Chemiereaktor!$AJ$45:$AJ$46</c:f>
              <c:strCache>
                <c:ptCount val="1"/>
                <c:pt idx="0">
                  <c:v>Konzentration B hoch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5084299144434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Produktmenge_Chemiereaktor!$AM$45:$AM$46</c:f>
              <c:numCache>
                <c:formatCode>0.0</c:formatCode>
                <c:ptCount val="2"/>
                <c:pt idx="0">
                  <c:v>56</c:v>
                </c:pt>
                <c:pt idx="1">
                  <c:v>84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Produktmenge_Chemiereaktor!$AJ$43:$AJ$44</c:f>
              <c:strCache>
                <c:ptCount val="1"/>
                <c:pt idx="0">
                  <c:v>Konzentration B niedrig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7159525952835507E-2"/>
                  <c:y val="-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Produktmenge_Chemiereaktor!$AM$43:$AM$44</c:f>
              <c:numCache>
                <c:formatCode>0.0</c:formatCode>
                <c:ptCount val="2"/>
                <c:pt idx="0">
                  <c:v>63.5</c:v>
                </c:pt>
                <c:pt idx="1">
                  <c:v>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601344"/>
        <c:axId val="245601920"/>
      </c:scatterChart>
      <c:valAx>
        <c:axId val="24560134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45601920"/>
        <c:crosses val="autoZero"/>
        <c:crossBetween val="midCat"/>
        <c:majorUnit val="0.5"/>
        <c:minorUnit val="0.5"/>
      </c:valAx>
      <c:valAx>
        <c:axId val="245601920"/>
        <c:scaling>
          <c:orientation val="minMax"/>
          <c:max val="10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Produktmenge [kg]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7.678339191083125E-2"/>
              <c:y val="3.929821272340958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601344"/>
        <c:crossesAt val="-2"/>
        <c:crossBetween val="midCat"/>
        <c:majorUnit val="10"/>
        <c:minorUnit val="1"/>
      </c:valAx>
    </c:plotArea>
    <c:legend>
      <c:legendPos val="r"/>
      <c:layout>
        <c:manualLayout>
          <c:xMode val="edge"/>
          <c:yMode val="edge"/>
          <c:x val="0.57827428714267859"/>
          <c:y val="0.55749375078115226"/>
          <c:w val="0.23760790431617271"/>
          <c:h val="0.2602830896137982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US" sz="1400"/>
              <a:t>Wechselwirkung BC: y=f(B) mit Parameter C</a:t>
            </a:r>
          </a:p>
        </c:rich>
      </c:tx>
      <c:layout>
        <c:manualLayout>
          <c:xMode val="edge"/>
          <c:yMode val="edge"/>
          <c:x val="0.37894640814120439"/>
          <c:y val="3.7036932883389578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3650080321902325"/>
          <c:y val="0.17747583204991935"/>
          <c:w val="0.55070514226933165"/>
          <c:h val="0.64116237536423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Produktmenge_Chemiereaktor!$AJ$95:$AJ$96</c:f>
              <c:strCache>
                <c:ptCount val="1"/>
                <c:pt idx="0">
                  <c:v>Katalysator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3052160353449089E-2"/>
                  <c:y val="2.380952380952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526080176723769E-3"/>
                  <c:y val="1.9841269841269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Produktmenge_Chemiereaktor!$AM$95:$AM$96</c:f>
              <c:numCache>
                <c:formatCode>0.0</c:formatCode>
                <c:ptCount val="2"/>
                <c:pt idx="0">
                  <c:v>75</c:v>
                </c:pt>
                <c:pt idx="1">
                  <c:v>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Produktmenge_Chemiereaktor!$AJ$97:$AJ$98</c:f>
              <c:strCache>
                <c:ptCount val="1"/>
                <c:pt idx="0">
                  <c:v>Katalysator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9831296212069442E-2"/>
                  <c:y val="-7.142857142857142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761405203315176E-3"/>
                  <c:y val="-4.3651106111736108E-2"/>
                </c:manualLayout>
              </c:layout>
              <c:spPr/>
              <c:txPr>
                <a:bodyPr/>
                <a:lstStyle/>
                <a:p>
                  <a:pPr algn="ctr" rtl="0">
                    <a:defRPr lang="de-DE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Produktmenge_Chemiereaktor!$AM$97:$AM$98</c:f>
              <c:numCache>
                <c:formatCode>0.0</c:formatCode>
                <c:ptCount val="2"/>
                <c:pt idx="0">
                  <c:v>76.5</c:v>
                </c:pt>
                <c:pt idx="1">
                  <c:v>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525120"/>
        <c:axId val="283525696"/>
      </c:scatterChart>
      <c:valAx>
        <c:axId val="283525120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3525696"/>
        <c:crosses val="autoZero"/>
        <c:crossBetween val="midCat"/>
        <c:majorUnit val="0.5"/>
        <c:minorUnit val="0.5"/>
      </c:valAx>
      <c:valAx>
        <c:axId val="283525696"/>
        <c:scaling>
          <c:orientation val="minMax"/>
          <c:max val="10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Produktmenge [kg]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6.4444716198669927E-2"/>
              <c:y val="2.813012009862403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3525120"/>
        <c:crossesAt val="-2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5433370623753998"/>
          <c:y val="0.1796568404156092"/>
          <c:w val="0.30833073322933002"/>
          <c:h val="0.216632295963004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Hauptwirkungen A, B und C</a:t>
            </a:r>
          </a:p>
        </c:rich>
      </c:tx>
      <c:layout>
        <c:manualLayout>
          <c:xMode val="edge"/>
          <c:yMode val="edge"/>
          <c:x val="0.35336239994794039"/>
          <c:y val="3.650772820064159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11661538996367"/>
          <c:y val="0.17738407699037623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Produktmenge_Chemiereaktor!$AJ$16:$AJ$17</c:f>
              <c:strCache>
                <c:ptCount val="1"/>
                <c:pt idx="0">
                  <c:v>A Temperatur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47658402203857E-2"/>
                  <c:y val="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Produktmenge_Chemiereaktor!$AJ$18:$AJ$19</c:f>
              <c:numCache>
                <c:formatCode>0.00</c:formatCode>
                <c:ptCount val="2"/>
                <c:pt idx="0">
                  <c:v>59.75</c:v>
                </c:pt>
                <c:pt idx="1">
                  <c:v>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Produktmenge_Chemiereaktor!$AK$16:$AK$17</c:f>
              <c:strCache>
                <c:ptCount val="1"/>
                <c:pt idx="0">
                  <c:v>B Konzentration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137741046831954"/>
                  <c:y val="-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4.074074074074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Produktmenge_Chemiereaktor!$AK$18:$AK$19</c:f>
              <c:numCache>
                <c:formatCode>0.00</c:formatCode>
                <c:ptCount val="2"/>
                <c:pt idx="0">
                  <c:v>75.75</c:v>
                </c:pt>
                <c:pt idx="1">
                  <c:v>70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Produktmenge_Chemiereaktor!$AM$16:$AM$17</c:f>
              <c:strCache>
                <c:ptCount val="1"/>
                <c:pt idx="0">
                  <c:v>C  Katalysator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x"/>
            <c:size val="7"/>
            <c:spPr>
              <a:noFill/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9.9173727251035793E-2"/>
                  <c:y val="3.33333333333332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Produktmenge_Chemiereaktor!$AM$18:$AM$19</c:f>
              <c:numCache>
                <c:formatCode>0.00</c:formatCode>
                <c:ptCount val="2"/>
                <c:pt idx="0">
                  <c:v>72</c:v>
                </c:pt>
                <c:pt idx="1">
                  <c:v>73.75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528000"/>
        <c:axId val="283528576"/>
      </c:scatterChart>
      <c:valAx>
        <c:axId val="283528000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3528576"/>
        <c:crosses val="autoZero"/>
        <c:crossBetween val="midCat"/>
        <c:majorUnit val="0.5"/>
        <c:minorUnit val="0.5"/>
      </c:valAx>
      <c:valAx>
        <c:axId val="283528576"/>
        <c:scaling>
          <c:orientation val="minMax"/>
          <c:max val="10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Produktmenge [kg]</a:t>
                </a:r>
              </a:p>
            </c:rich>
          </c:tx>
          <c:layout>
            <c:manualLayout>
              <c:xMode val="edge"/>
              <c:yMode val="edge"/>
              <c:x val="5.4719194868853314E-2"/>
              <c:y val="5.93846602508019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3528000"/>
        <c:crossesAt val="-2"/>
        <c:crossBetween val="midCat"/>
        <c:majorUnit val="10"/>
        <c:minorUnit val="2"/>
      </c:valAx>
    </c:plotArea>
    <c:legend>
      <c:legendPos val="r"/>
      <c:layout>
        <c:manualLayout>
          <c:xMode val="edge"/>
          <c:yMode val="edge"/>
          <c:x val="0.71542281552554365"/>
          <c:y val="0.28124213763220435"/>
          <c:w val="0.27140185291408131"/>
          <c:h val="0.323025672086848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F-Werte der Wirkungen v.s. Grenzwert der F-Verteilung</a:t>
            </a:r>
          </a:p>
        </c:rich>
      </c:tx>
      <c:layout>
        <c:manualLayout>
          <c:xMode val="edge"/>
          <c:yMode val="edge"/>
          <c:x val="0.2535104662478988"/>
          <c:y val="5.89681588616537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92633814031673"/>
          <c:y val="0.13672254045662613"/>
          <c:w val="0.81356606380486518"/>
          <c:h val="0.74004365597932664"/>
        </c:manualLayout>
      </c:layout>
      <c:scatterChart>
        <c:scatterStyle val="lineMarker"/>
        <c:varyColors val="0"/>
        <c:ser>
          <c:idx val="1"/>
          <c:order val="0"/>
          <c:tx>
            <c:strRef>
              <c:f>Produktmenge_Chemiereaktor!$AV$18</c:f>
              <c:strCache>
                <c:ptCount val="1"/>
                <c:pt idx="0">
                  <c:v>F1-a(1,fR)=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spPr>
              <a:solidFill>
                <a:schemeClr val="accent6">
                  <a:lumMod val="40000"/>
                  <a:lumOff val="60000"/>
                </a:schemeClr>
              </a:solidFill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Produktmenge_Chemiereaktor!$AT$30:$AT$31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Produktmenge_Chemiereaktor!$AU$30:$AU$31</c:f>
              <c:numCache>
                <c:formatCode>0.0000</c:formatCode>
                <c:ptCount val="2"/>
                <c:pt idx="0">
                  <c:v>18.512820512820511</c:v>
                </c:pt>
                <c:pt idx="1">
                  <c:v>18.512820512820511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Adhaesion_Verklebung!$AS$22</c:f>
              <c:strCache>
                <c:ptCount val="1"/>
                <c:pt idx="0">
                  <c:v>A</c:v>
                </c:pt>
              </c:strCache>
            </c:strRef>
          </c:tx>
          <c:spPr>
            <a:ln w="25400" cap="sq" cmpd="sng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5.6620437052110062E-2"/>
                  <c:y val="-4.5751645759777131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xVal>
          <c:yVal>
            <c:numRef>
              <c:f>Produktmenge_Chemiereaktor!$AT$23:$AU$23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2205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Adhaesion_Verklebung!$AS$23</c:f>
              <c:strCache>
                <c:ptCount val="1"/>
                <c:pt idx="0">
                  <c:v>B</c:v>
                </c:pt>
              </c:strCache>
            </c:strRef>
          </c:tx>
          <c:spPr>
            <a:ln w="254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xVal>
          <c:yVal>
            <c:numRef>
              <c:f>Produktmenge_Chemiereaktor!$AT$24:$AU$24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105.8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Adhaesion_Verklebung!$AS$24</c:f>
              <c:strCache>
                <c:ptCount val="1"/>
                <c:pt idx="0">
                  <c:v>AB</c:v>
                </c:pt>
              </c:strCache>
            </c:strRef>
          </c:tx>
          <c:spPr>
            <a:ln w="254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xVal>
          <c:yVal>
            <c:numRef>
              <c:f>Produktmenge_Chemiereaktor!$AT$25:$AU$25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9.8000000000000007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Adhaesion_Verklebung!$AS$25</c:f>
              <c:strCache>
                <c:ptCount val="1"/>
                <c:pt idx="0">
                  <c:v>C </c:v>
                </c:pt>
              </c:strCache>
            </c:strRef>
          </c:tx>
          <c:spPr>
            <a:ln w="254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xVal>
          <c:yVal>
            <c:numRef>
              <c:f>Produktmenge_Chemiereaktor!$AT$26:$AU$26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9.8000000000000007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Adhaesion_Verklebung!$AS$26</c:f>
              <c:strCache>
                <c:ptCount val="1"/>
                <c:pt idx="0">
                  <c:v>AC</c:v>
                </c:pt>
              </c:strCache>
            </c:strRef>
          </c:tx>
          <c:spPr>
            <a:ln w="254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xVal>
          <c:yVal>
            <c:numRef>
              <c:f>Produktmenge_Chemiereaktor!$AT$27:$AU$27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405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Adhaesion_Verklebung!$AS$27</c:f>
              <c:strCache>
                <c:ptCount val="1"/>
                <c:pt idx="0">
                  <c:v>BC</c:v>
                </c:pt>
              </c:strCache>
            </c:strRef>
          </c:tx>
          <c:spPr>
            <a:ln w="1270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xVal>
          <c:yVal>
            <c:numRef>
              <c:f>Produktmenge_Chemiereaktor!$AT$28:$AU$28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Adhaesion_Verklebung!$AS$28</c:f>
              <c:strCache>
                <c:ptCount val="1"/>
                <c:pt idx="0">
                  <c:v>ABC</c:v>
                </c:pt>
              </c:strCache>
            </c:strRef>
          </c:tx>
          <c:spPr>
            <a:ln w="25400" cap="sq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x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xVal>
          <c:yVal>
            <c:numRef>
              <c:f>Produktmenge_Chemiereaktor!$AT$29:$AU$29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1.8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83531456"/>
        <c:axId val="283532032"/>
      </c:scatterChart>
      <c:valAx>
        <c:axId val="283531456"/>
        <c:scaling>
          <c:orientation val="minMax"/>
          <c:max val="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283532032"/>
        <c:crosses val="autoZero"/>
        <c:crossBetween val="midCat"/>
      </c:valAx>
      <c:valAx>
        <c:axId val="283532032"/>
        <c:scaling>
          <c:orientation val="minMax"/>
          <c:max val="25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83531456"/>
        <c:crosses val="autoZero"/>
        <c:crossBetween val="midCat"/>
        <c:majorUnit val="500"/>
        <c:minorUnit val="100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AC: y=f(A) mit Parameter C</a:t>
            </a:r>
          </a:p>
        </c:rich>
      </c:tx>
      <c:layout>
        <c:manualLayout>
          <c:xMode val="edge"/>
          <c:yMode val="edge"/>
          <c:x val="0.32949548611440632"/>
          <c:y val="5.1923221307571543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727063318752282"/>
          <c:y val="0.18753019674955454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Adhaesion_Verklebung!$AJ$68:$AJ$69</c:f>
              <c:strCache>
                <c:ptCount val="1"/>
                <c:pt idx="0">
                  <c:v>Anpressdauer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5198833821531761E-2"/>
                  <c:y val="-3.6393710020649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Adhaesion_Verklebung!$AM$68:$AM$69</c:f>
              <c:numCache>
                <c:formatCode>0.0</c:formatCode>
                <c:ptCount val="2"/>
                <c:pt idx="0">
                  <c:v>31.25</c:v>
                </c:pt>
                <c:pt idx="1">
                  <c:v>33.5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Adhaesion_Verklebung!$AJ$70:$AJ$71</c:f>
              <c:strCache>
                <c:ptCount val="1"/>
                <c:pt idx="0">
                  <c:v>Anpressdauer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3120813484421227E-2"/>
                  <c:y val="2.911496801651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Adhaesion_Verklebung!$AM$70:$AM$71</c:f>
              <c:numCache>
                <c:formatCode>0.0</c:formatCode>
                <c:ptCount val="2"/>
                <c:pt idx="0">
                  <c:v>35.599999999999994</c:v>
                </c:pt>
                <c:pt idx="1">
                  <c:v>38.4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869888"/>
        <c:axId val="299871040"/>
      </c:scatterChart>
      <c:valAx>
        <c:axId val="299869888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99871040"/>
        <c:crosses val="autoZero"/>
        <c:crossBetween val="midCat"/>
        <c:majorUnit val="0.5"/>
        <c:minorUnit val="0.5"/>
      </c:valAx>
      <c:valAx>
        <c:axId val="299871040"/>
        <c:scaling>
          <c:orientation val="minMax"/>
          <c:max val="40"/>
          <c:min val="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Adhäsionskraft</a:t>
                </a:r>
                <a:br>
                  <a:rPr lang="de-DE"/>
                </a:br>
                <a:r>
                  <a:rPr lang="de-DE"/>
                  <a:t>[kN]</a:t>
                </a:r>
              </a:p>
            </c:rich>
          </c:tx>
          <c:layout>
            <c:manualLayout>
              <c:xMode val="edge"/>
              <c:yMode val="edge"/>
              <c:x val="4.9872488090652735E-2"/>
              <c:y val="2.799077491092140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299869888"/>
        <c:crossesAt val="-2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50613527817219572"/>
          <c:y val="0.39051998301244778"/>
          <c:w val="0.31249089963598647"/>
          <c:h val="0.161076740407449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AB: y=f(A) mit Parameter B</a:t>
            </a:r>
          </a:p>
        </c:rich>
      </c:tx>
      <c:layout>
        <c:manualLayout>
          <c:xMode val="edge"/>
          <c:yMode val="edge"/>
          <c:x val="0.30013694575926486"/>
          <c:y val="3.30686789151356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10374549761761"/>
          <c:y val="0.20322136235083724"/>
          <c:w val="0.55485767177653522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Adhaesion_Verklebung!$AJ$45:$AJ$46</c:f>
              <c:strCache>
                <c:ptCount val="1"/>
                <c:pt idx="0">
                  <c:v>Anpressdruck B hoch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8998354555615463E-2"/>
                  <c:y val="1.1097098152522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578081345060754E-3"/>
                  <c:y val="1.4796130870029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Adhaesion_Verklebung!$AM$45:$AM$46</c:f>
              <c:numCache>
                <c:formatCode>0.0</c:formatCode>
                <c:ptCount val="2"/>
                <c:pt idx="0">
                  <c:v>34.700000000000003</c:v>
                </c:pt>
                <c:pt idx="1">
                  <c:v>35.65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Adhaesion_Verklebung!$AJ$43:$AJ$44</c:f>
              <c:strCache>
                <c:ptCount val="1"/>
                <c:pt idx="0">
                  <c:v>Anpressdruck B niedrig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1077258622868464E-2"/>
                  <c:y val="-2.2194196305044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57808134505999E-3"/>
                  <c:y val="-1.109709815252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Adhaesion_Verklebung!$AM$43:$AM$44</c:f>
              <c:numCache>
                <c:formatCode>0.0</c:formatCode>
                <c:ptCount val="2"/>
                <c:pt idx="0">
                  <c:v>32.15</c:v>
                </c:pt>
                <c:pt idx="1">
                  <c:v>36.25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873344"/>
        <c:axId val="299873920"/>
      </c:scatterChart>
      <c:valAx>
        <c:axId val="299873344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99873920"/>
        <c:crosses val="autoZero"/>
        <c:crossBetween val="midCat"/>
        <c:majorUnit val="0.5"/>
        <c:minorUnit val="0.5"/>
      </c:valAx>
      <c:valAx>
        <c:axId val="299873920"/>
        <c:scaling>
          <c:orientation val="minMax"/>
          <c:max val="40"/>
          <c:min val="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Adhäsionskraft </a:t>
                </a:r>
                <a:br>
                  <a:rPr lang="de-DE"/>
                </a:br>
                <a:r>
                  <a:rPr lang="de-DE"/>
                  <a:t>[kN]</a:t>
                </a:r>
              </a:p>
            </c:rich>
          </c:tx>
          <c:layout>
            <c:manualLayout>
              <c:xMode val="edge"/>
              <c:yMode val="edge"/>
              <c:x val="6.6524930152097206E-2"/>
              <c:y val="3.788421153806945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9873344"/>
        <c:crossesAt val="-2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43374821004517294"/>
          <c:y val="0.16613375352791604"/>
          <c:w val="0.34785231409256451"/>
          <c:h val="0.188854518185226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Wechselwirkung BC: y=f(B) mit Parameter C</a:t>
            </a:r>
          </a:p>
        </c:rich>
      </c:tx>
      <c:layout>
        <c:manualLayout>
          <c:xMode val="edge"/>
          <c:yMode val="edge"/>
          <c:x val="0.35592790480245223"/>
          <c:y val="6.233062330623306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688053150197017"/>
          <c:y val="0.18849518810148733"/>
          <c:w val="0.58602791484894423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Adhaesion_Verklebung!$AJ$95:$AJ$96</c:f>
              <c:strCache>
                <c:ptCount val="1"/>
                <c:pt idx="0">
                  <c:v>Anpressdauer C niedrig</c:v>
                </c:pt>
              </c:strCache>
            </c:strRef>
          </c:tx>
          <c:spPr>
            <a:ln w="22225" cmpd="sng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3120813484421213E-2"/>
                  <c:y val="7.226738934056006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1560406742209852E-3"/>
                  <c:y val="-2.168021680216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Adhaesion_Verklebung!$AM$95:$AM$96</c:f>
              <c:numCache>
                <c:formatCode>0.0</c:formatCode>
                <c:ptCount val="2"/>
                <c:pt idx="0">
                  <c:v>32.25</c:v>
                </c:pt>
                <c:pt idx="1">
                  <c:v>32.5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Adhaesion_Verklebung!$AJ$97:$AJ$98</c:f>
              <c:strCache>
                <c:ptCount val="1"/>
                <c:pt idx="0">
                  <c:v>Anpressdauer C hoch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7276854158642295E-2"/>
                  <c:y val="-2.8906955736224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6193198837051346E-17"/>
                  <c:y val="-5.781391147244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Adhaesion_Verklebung!$AM$97:$AM$98</c:f>
              <c:numCache>
                <c:formatCode>0.0</c:formatCode>
                <c:ptCount val="2"/>
                <c:pt idx="0">
                  <c:v>36.15</c:v>
                </c:pt>
                <c:pt idx="1">
                  <c:v>37.849999999999994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75136"/>
        <c:axId val="282075712"/>
      </c:scatterChart>
      <c:valAx>
        <c:axId val="282075136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2075712"/>
        <c:crosses val="autoZero"/>
        <c:crossBetween val="midCat"/>
        <c:majorUnit val="0.5"/>
        <c:minorUnit val="0.5"/>
      </c:valAx>
      <c:valAx>
        <c:axId val="282075712"/>
        <c:scaling>
          <c:orientation val="minMax"/>
          <c:max val="40"/>
          <c:min val="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Adhäsionskraft</a:t>
                </a:r>
                <a:br>
                  <a:rPr lang="en-US"/>
                </a:br>
                <a:r>
                  <a:rPr lang="en-US"/>
                  <a:t>[kN]</a:t>
                </a:r>
              </a:p>
            </c:rich>
          </c:tx>
          <c:layout>
            <c:manualLayout>
              <c:xMode val="edge"/>
              <c:yMode val="edge"/>
              <c:x val="6.2340610113315924E-2"/>
              <c:y val="4.172645086030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2075136"/>
        <c:crossesAt val="-2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4869725349123214"/>
          <c:y val="0.44509229029298158"/>
          <c:w val="0.33745189807592396"/>
          <c:h val="0.192822772153480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Hauptwirkungen A, B und C</a:t>
            </a:r>
          </a:p>
        </c:rich>
      </c:tx>
      <c:layout>
        <c:manualLayout>
          <c:xMode val="edge"/>
          <c:yMode val="edge"/>
          <c:x val="0.33358618426230563"/>
          <c:y val="3.6478166079653679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4454565624284949"/>
          <c:y val="0.1882717071359982"/>
          <c:w val="0.6232595287764453"/>
          <c:h val="0.68156641878098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Adhaesion_Verklebung!$AJ$16:$AJ$17</c:f>
              <c:strCache>
                <c:ptCount val="1"/>
                <c:pt idx="0">
                  <c:v>A Beschichtungsdicke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7086417161987501E-2"/>
                  <c:y val="6.76272196421543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 algn="ctr" rtl="0">
                  <a:defRPr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Adhaesion_Verklebung!$AJ$18:$AJ$19</c:f>
              <c:numCache>
                <c:formatCode>0.00</c:formatCode>
                <c:ptCount val="2"/>
                <c:pt idx="0">
                  <c:v>33.424999999999997</c:v>
                </c:pt>
                <c:pt idx="1">
                  <c:v>35.950000000000003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Adhaesion_Verklebung!$AK$16:$AK$17</c:f>
              <c:strCache>
                <c:ptCount val="1"/>
                <c:pt idx="0">
                  <c:v>B Anpressdruck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149943612389603"/>
                  <c:y val="-3.319920043080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Adhaesion_Verklebung!$AK$18:$AK$19</c:f>
              <c:numCache>
                <c:formatCode>0.00</c:formatCode>
                <c:ptCount val="2"/>
                <c:pt idx="0">
                  <c:v>34.200000000000003</c:v>
                </c:pt>
                <c:pt idx="1">
                  <c:v>35.174999999999997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Adhaesion_Verklebung!$AM$16:$AM$17</c:f>
              <c:strCache>
                <c:ptCount val="1"/>
                <c:pt idx="0">
                  <c:v>C  Anpressdauer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dPt>
            <c:idx val="1"/>
            <c:bubble3D val="0"/>
          </c:dPt>
          <c:dLbls>
            <c:dLbl>
              <c:idx val="0"/>
              <c:layout>
                <c:manualLayout>
                  <c:x val="-9.2673398200078985E-2"/>
                  <c:y val="1.106640014360165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Adhaesion_Verklebung!$AI$18:$AI$19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xVal>
          <c:yVal>
            <c:numRef>
              <c:f>Adhaesion_Verklebung!$AM$18:$AM$19</c:f>
              <c:numCache>
                <c:formatCode>0.00</c:formatCode>
                <c:ptCount val="2"/>
                <c:pt idx="0">
                  <c:v>32.375</c:v>
                </c:pt>
                <c:pt idx="1">
                  <c:v>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78016"/>
        <c:axId val="282078592"/>
      </c:scatterChart>
      <c:valAx>
        <c:axId val="282078016"/>
        <c:scaling>
          <c:orientation val="minMax"/>
          <c:max val="1.5"/>
          <c:min val="-1.5"/>
        </c:scaling>
        <c:delete val="1"/>
        <c:axPos val="b"/>
        <c:majorGridlines/>
        <c:numFmt formatCode="General" sourceLinked="1"/>
        <c:majorTickMark val="out"/>
        <c:minorTickMark val="out"/>
        <c:tickLblPos val="nextTo"/>
        <c:crossAx val="282078592"/>
        <c:crosses val="autoZero"/>
        <c:crossBetween val="midCat"/>
        <c:majorUnit val="0.5"/>
        <c:minorUnit val="0.5"/>
      </c:valAx>
      <c:valAx>
        <c:axId val="282078592"/>
        <c:scaling>
          <c:orientation val="minMax"/>
          <c:max val="40"/>
          <c:min val="3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Adhäsionskraft [kN]</a:t>
                </a:r>
              </a:p>
            </c:rich>
          </c:tx>
          <c:layout>
            <c:manualLayout>
              <c:xMode val="edge"/>
              <c:yMode val="edge"/>
              <c:x val="4.3681747269890756E-2"/>
              <c:y val="2.44569428821399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2078016"/>
        <c:crossesAt val="-2"/>
        <c:crossBetween val="midCat"/>
        <c:majorUnit val="2"/>
        <c:minorUnit val="0.5"/>
      </c:valAx>
    </c:plotArea>
    <c:legend>
      <c:legendPos val="r"/>
      <c:layout>
        <c:manualLayout>
          <c:xMode val="edge"/>
          <c:yMode val="edge"/>
          <c:x val="0.17997494108856832"/>
          <c:y val="0.1991559909307801"/>
          <c:w val="0.33761401964001925"/>
          <c:h val="0.2545794855082440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1"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19050</xdr:rowOff>
    </xdr:from>
    <xdr:to>
      <xdr:col>7</xdr:col>
      <xdr:colOff>619125</xdr:colOff>
      <xdr:row>23</xdr:row>
      <xdr:rowOff>47625</xdr:rowOff>
    </xdr:to>
    <xdr:sp macro="" textlink="">
      <xdr:nvSpPr>
        <xdr:cNvPr id="2" name="Textfeld 1"/>
        <xdr:cNvSpPr txBox="1"/>
      </xdr:nvSpPr>
      <xdr:spPr>
        <a:xfrm>
          <a:off x="171450" y="609600"/>
          <a:ext cx="5781675" cy="3838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Dateneingabe erfolgt in die gelb hinterlegten Felder.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Faktornamen,  Niveauwerte  und  ggf. Maßeinheiten  eingeben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Versuchsergebnisse eingeben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Wirkungen/Wechselwirkungen, Abweichungsquadrate , F-Tests und  Koeffizienten der Vorhersagefunktion werden berechnet.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Grafiken werden erstellt: Main Effects Plots  und Interaction Plots (Achsen sind  manuell  zu </a:t>
          </a: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skalieren)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Damit die Signifikanz der Wirkungen berechnet werden kann, müssen  die  Summe der Abweichungsquadrate  und der zugehörige Freiheitsgrad eingegegben werden. Damit wird eine Varianzanalyse durchgeführt . Der  F-Test  entscheidet über die Signifikanz der Wirkungen. 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in vielen Fällen die Wechselwirkungen nicht signifikant sind,  werden diese  zur Schätzung der Versuchsstreuung herangezogen . 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Die Vorhersagefunktion liefert für beliebige einzugebende Faktorwerte (innerhalb des Versuchsraumes) die entsprechende Zielgröße auf Basis der signifikanten Wirkungen. Die Zahlen 0 und 1 markieren die Relevanzen der Koeffizienten in der Vorhersagegleichung.</a:t>
          </a:r>
          <a:endParaRPr lang="de-DE" sz="1100"/>
        </a:p>
        <a:p>
          <a:endParaRPr lang="de-DE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0.20383</cdr:x>
      <cdr:y>0.88166</cdr:y>
    </cdr:from>
    <cdr:to>
      <cdr:x>0.91124</cdr:x>
      <cdr:y>0.96139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45754" y="3098801"/>
          <a:ext cx="432336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 B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0.18635</cdr:x>
      <cdr:y>0.88246</cdr:y>
    </cdr:from>
    <cdr:to>
      <cdr:x>0.82365</cdr:x>
      <cdr:y>0.96385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72572" y="3038186"/>
          <a:ext cx="3668083" cy="2802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hoch               Niveau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171450</xdr:colOff>
      <xdr:row>72</xdr:row>
      <xdr:rowOff>114299</xdr:rowOff>
    </xdr:from>
    <xdr:to>
      <xdr:col>43</xdr:col>
      <xdr:colOff>123825</xdr:colOff>
      <xdr:row>90</xdr:row>
      <xdr:rowOff>66674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161925</xdr:colOff>
      <xdr:row>46</xdr:row>
      <xdr:rowOff>180974</xdr:rowOff>
    </xdr:from>
    <xdr:to>
      <xdr:col>43</xdr:col>
      <xdr:colOff>114300</xdr:colOff>
      <xdr:row>63</xdr:row>
      <xdr:rowOff>514349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76200</xdr:colOff>
      <xdr:row>99</xdr:row>
      <xdr:rowOff>142874</xdr:rowOff>
    </xdr:from>
    <xdr:to>
      <xdr:col>43</xdr:col>
      <xdr:colOff>247650</xdr:colOff>
      <xdr:row>118</xdr:row>
      <xdr:rowOff>190499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104775</xdr:colOff>
      <xdr:row>21</xdr:row>
      <xdr:rowOff>66674</xdr:rowOff>
    </xdr:from>
    <xdr:to>
      <xdr:col>42</xdr:col>
      <xdr:colOff>552450</xdr:colOff>
      <xdr:row>38</xdr:row>
      <xdr:rowOff>361949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0.18773</cdr:x>
      <cdr:y>0.87408</cdr:y>
    </cdr:from>
    <cdr:to>
      <cdr:x>0.88171</cdr:x>
      <cdr:y>0.95695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46175" y="2955594"/>
          <a:ext cx="423712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 hoch               Niveau von A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0.19241</cdr:x>
      <cdr:y>0.88089</cdr:y>
    </cdr:from>
    <cdr:to>
      <cdr:x>0.88639</cdr:x>
      <cdr:y>0.96504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74750" y="3146425"/>
          <a:ext cx="4237133" cy="3005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A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0.20021</cdr:x>
      <cdr:y>0.8658</cdr:y>
    </cdr:from>
    <cdr:to>
      <cdr:x>0.88734</cdr:x>
      <cdr:y>0.94221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22375" y="3175000"/>
          <a:ext cx="4195316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hoch               Niveau von  B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0.18102</cdr:x>
      <cdr:y>0.86343</cdr:y>
    </cdr:from>
    <cdr:to>
      <cdr:x>0.8186</cdr:x>
      <cdr:y>0.94273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1400" y="3051175"/>
          <a:ext cx="3668106" cy="2802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hoch               Niveau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73</xdr:row>
      <xdr:rowOff>0</xdr:rowOff>
    </xdr:from>
    <xdr:to>
      <xdr:col>36</xdr:col>
      <xdr:colOff>171450</xdr:colOff>
      <xdr:row>89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209550</xdr:colOff>
      <xdr:row>46</xdr:row>
      <xdr:rowOff>142875</xdr:rowOff>
    </xdr:from>
    <xdr:to>
      <xdr:col>36</xdr:col>
      <xdr:colOff>161925</xdr:colOff>
      <xdr:row>63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99</xdr:row>
      <xdr:rowOff>9525</xdr:rowOff>
    </xdr:from>
    <xdr:to>
      <xdr:col>36</xdr:col>
      <xdr:colOff>171450</xdr:colOff>
      <xdr:row>115</xdr:row>
      <xdr:rowOff>161925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152400</xdr:colOff>
      <xdr:row>20</xdr:row>
      <xdr:rowOff>133350</xdr:rowOff>
    </xdr:from>
    <xdr:to>
      <xdr:col>35</xdr:col>
      <xdr:colOff>600075</xdr:colOff>
      <xdr:row>37</xdr:row>
      <xdr:rowOff>114300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171451</xdr:colOff>
      <xdr:row>72</xdr:row>
      <xdr:rowOff>142875</xdr:rowOff>
    </xdr:from>
    <xdr:to>
      <xdr:col>42</xdr:col>
      <xdr:colOff>120651</xdr:colOff>
      <xdr:row>89</xdr:row>
      <xdr:rowOff>104775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198437</xdr:colOff>
      <xdr:row>46</xdr:row>
      <xdr:rowOff>103187</xdr:rowOff>
    </xdr:from>
    <xdr:to>
      <xdr:col>42</xdr:col>
      <xdr:colOff>150812</xdr:colOff>
      <xdr:row>63</xdr:row>
      <xdr:rowOff>65087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82550</xdr:colOff>
      <xdr:row>99</xdr:row>
      <xdr:rowOff>114299</xdr:rowOff>
    </xdr:from>
    <xdr:to>
      <xdr:col>42</xdr:col>
      <xdr:colOff>254000</xdr:colOff>
      <xdr:row>117</xdr:row>
      <xdr:rowOff>142874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19</xdr:row>
      <xdr:rowOff>171450</xdr:rowOff>
    </xdr:from>
    <xdr:to>
      <xdr:col>41</xdr:col>
      <xdr:colOff>666750</xdr:colOff>
      <xdr:row>37</xdr:row>
      <xdr:rowOff>171450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377824</xdr:colOff>
      <xdr:row>32</xdr:row>
      <xdr:rowOff>31751</xdr:rowOff>
    </xdr:from>
    <xdr:to>
      <xdr:col>55</xdr:col>
      <xdr:colOff>663574</xdr:colOff>
      <xdr:row>51</xdr:row>
      <xdr:rowOff>60325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0.19258</cdr:x>
      <cdr:y>0.86905</cdr:y>
    </cdr:from>
    <cdr:to>
      <cdr:x>0.8853</cdr:x>
      <cdr:y>0.9566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77926" y="2781299"/>
          <a:ext cx="423712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0.2109</cdr:x>
      <cdr:y>0.89884</cdr:y>
    </cdr:from>
    <cdr:to>
      <cdr:x>0.90326</cdr:x>
      <cdr:y>0.98639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0688" y="2876652"/>
          <a:ext cx="423712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0.17701</cdr:x>
      <cdr:y>0.81477</cdr:y>
    </cdr:from>
    <cdr:to>
      <cdr:x>0.86858</cdr:x>
      <cdr:y>0.89581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82676" y="2817132"/>
          <a:ext cx="423013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B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0.19923</cdr:x>
      <cdr:y>0.88148</cdr:y>
    </cdr:from>
    <cdr:to>
      <cdr:x>0.83576</cdr:x>
      <cdr:y>0.9632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46175" y="3022600"/>
          <a:ext cx="3662028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hoch               Niveau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217342</xdr:colOff>
      <xdr:row>71</xdr:row>
      <xdr:rowOff>155863</xdr:rowOff>
    </xdr:from>
    <xdr:to>
      <xdr:col>42</xdr:col>
      <xdr:colOff>141142</xdr:colOff>
      <xdr:row>90</xdr:row>
      <xdr:rowOff>25977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209550</xdr:colOff>
      <xdr:row>46</xdr:row>
      <xdr:rowOff>116898</xdr:rowOff>
    </xdr:from>
    <xdr:to>
      <xdr:col>42</xdr:col>
      <xdr:colOff>161925</xdr:colOff>
      <xdr:row>64</xdr:row>
      <xdr:rowOff>121228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181841</xdr:colOff>
      <xdr:row>98</xdr:row>
      <xdr:rowOff>148070</xdr:rowOff>
    </xdr:from>
    <xdr:to>
      <xdr:col>42</xdr:col>
      <xdr:colOff>136814</xdr:colOff>
      <xdr:row>117</xdr:row>
      <xdr:rowOff>43295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190500</xdr:colOff>
      <xdr:row>20</xdr:row>
      <xdr:rowOff>161925</xdr:rowOff>
    </xdr:from>
    <xdr:to>
      <xdr:col>41</xdr:col>
      <xdr:colOff>638175</xdr:colOff>
      <xdr:row>38</xdr:row>
      <xdr:rowOff>175779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0</xdr:colOff>
      <xdr:row>29</xdr:row>
      <xdr:rowOff>28576</xdr:rowOff>
    </xdr:from>
    <xdr:to>
      <xdr:col>52</xdr:col>
      <xdr:colOff>342900</xdr:colOff>
      <xdr:row>48</xdr:row>
      <xdr:rowOff>57150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0.20242</cdr:x>
      <cdr:y>0.87312</cdr:y>
    </cdr:from>
    <cdr:to>
      <cdr:x>0.89001</cdr:x>
      <cdr:y>0.95342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37096" y="3046847"/>
          <a:ext cx="4202304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hoch               Niveau von A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0.18549</cdr:x>
      <cdr:y>0.873</cdr:y>
    </cdr:from>
    <cdr:to>
      <cdr:x>0.87908</cdr:x>
      <cdr:y>0.96055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33186" y="2997293"/>
          <a:ext cx="4237113" cy="3005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200" b="1"/>
            <a:t>niedrig		               hoch               Niveau von A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4"/>
  <sheetViews>
    <sheetView workbookViewId="0">
      <selection activeCell="H33" sqref="H33"/>
    </sheetView>
  </sheetViews>
  <sheetFormatPr baseColWidth="10" defaultRowHeight="15" x14ac:dyDescent="0.25"/>
  <sheetData>
    <row r="1" spans="1:8" ht="15.75" x14ac:dyDescent="0.25">
      <c r="A1" s="190"/>
      <c r="B1" s="190" t="s">
        <v>128</v>
      </c>
      <c r="C1" s="190"/>
      <c r="D1" s="190"/>
      <c r="E1" s="190"/>
      <c r="F1" s="190" t="s">
        <v>130</v>
      </c>
      <c r="G1" s="190"/>
      <c r="H1" s="190"/>
    </row>
    <row r="2" spans="1:8" ht="15.75" x14ac:dyDescent="0.25">
      <c r="A2" s="190"/>
      <c r="B2" s="190" t="s">
        <v>129</v>
      </c>
      <c r="C2" s="190"/>
      <c r="D2" s="190"/>
      <c r="E2" s="190"/>
      <c r="F2" s="190"/>
      <c r="G2" s="190"/>
      <c r="H2" s="190"/>
    </row>
    <row r="3" spans="1:8" x14ac:dyDescent="0.25">
      <c r="A3" s="189"/>
      <c r="B3" s="189"/>
      <c r="C3" s="189"/>
      <c r="D3" s="189"/>
      <c r="E3" s="189"/>
      <c r="F3" s="189"/>
      <c r="G3" s="189"/>
      <c r="H3" s="189"/>
    </row>
    <row r="4" spans="1:8" x14ac:dyDescent="0.25">
      <c r="A4" s="189"/>
      <c r="B4" s="189"/>
      <c r="C4" s="189"/>
      <c r="D4" s="189"/>
      <c r="E4" s="189"/>
      <c r="F4" s="189"/>
      <c r="G4" s="189"/>
      <c r="H4" s="189"/>
    </row>
    <row r="5" spans="1:8" x14ac:dyDescent="0.25">
      <c r="A5" s="189"/>
      <c r="B5" s="189"/>
      <c r="C5" s="189"/>
      <c r="D5" s="189"/>
      <c r="E5" s="189"/>
      <c r="F5" s="189"/>
      <c r="G5" s="189"/>
      <c r="H5" s="189"/>
    </row>
    <row r="6" spans="1:8" x14ac:dyDescent="0.25">
      <c r="A6" s="189"/>
      <c r="B6" s="189"/>
      <c r="C6" s="189"/>
      <c r="D6" s="189"/>
      <c r="E6" s="189"/>
      <c r="F6" s="189"/>
      <c r="G6" s="189"/>
      <c r="H6" s="189"/>
    </row>
    <row r="7" spans="1:8" x14ac:dyDescent="0.25">
      <c r="A7" s="189"/>
      <c r="B7" s="189"/>
      <c r="C7" s="189"/>
      <c r="D7" s="189"/>
      <c r="E7" s="189"/>
      <c r="F7" s="189"/>
      <c r="G7" s="189"/>
      <c r="H7" s="189"/>
    </row>
    <row r="8" spans="1:8" x14ac:dyDescent="0.25">
      <c r="A8" s="189"/>
      <c r="B8" s="189"/>
      <c r="C8" s="189"/>
      <c r="D8" s="189"/>
      <c r="E8" s="189"/>
      <c r="F8" s="189"/>
      <c r="G8" s="189"/>
      <c r="H8" s="189"/>
    </row>
    <row r="9" spans="1:8" x14ac:dyDescent="0.25">
      <c r="A9" s="189"/>
      <c r="B9" s="189"/>
      <c r="C9" s="189"/>
      <c r="D9" s="189"/>
      <c r="E9" s="189"/>
      <c r="F9" s="189"/>
      <c r="G9" s="189"/>
      <c r="H9" s="189"/>
    </row>
    <row r="10" spans="1:8" x14ac:dyDescent="0.25">
      <c r="A10" s="189"/>
      <c r="B10" s="189"/>
      <c r="C10" s="189"/>
      <c r="D10" s="189"/>
      <c r="E10" s="189"/>
      <c r="F10" s="189"/>
      <c r="G10" s="189"/>
      <c r="H10" s="189"/>
    </row>
    <row r="11" spans="1:8" x14ac:dyDescent="0.25">
      <c r="A11" s="189"/>
      <c r="B11" s="189"/>
      <c r="C11" s="189"/>
      <c r="D11" s="189"/>
      <c r="E11" s="189"/>
      <c r="F11" s="189"/>
      <c r="G11" s="189"/>
      <c r="H11" s="189"/>
    </row>
    <row r="12" spans="1:8" x14ac:dyDescent="0.25">
      <c r="A12" s="189"/>
      <c r="B12" s="189"/>
      <c r="C12" s="189"/>
      <c r="D12" s="189"/>
      <c r="E12" s="189"/>
      <c r="F12" s="189"/>
      <c r="G12" s="189"/>
      <c r="H12" s="189"/>
    </row>
    <row r="13" spans="1:8" x14ac:dyDescent="0.25">
      <c r="A13" s="189"/>
      <c r="B13" s="189"/>
      <c r="C13" s="189"/>
      <c r="D13" s="189"/>
      <c r="E13" s="189"/>
      <c r="F13" s="189"/>
      <c r="G13" s="189"/>
      <c r="H13" s="189"/>
    </row>
    <row r="14" spans="1:8" x14ac:dyDescent="0.25">
      <c r="A14" s="189"/>
      <c r="B14" s="189"/>
      <c r="C14" s="189"/>
      <c r="D14" s="189"/>
      <c r="E14" s="189"/>
      <c r="F14" s="189"/>
      <c r="G14" s="189"/>
      <c r="H14" s="189"/>
    </row>
    <row r="15" spans="1:8" x14ac:dyDescent="0.25">
      <c r="A15" s="189"/>
      <c r="B15" s="189"/>
      <c r="C15" s="189"/>
      <c r="D15" s="189"/>
      <c r="E15" s="189"/>
      <c r="F15" s="189"/>
      <c r="G15" s="189"/>
      <c r="H15" s="189"/>
    </row>
    <row r="16" spans="1:8" x14ac:dyDescent="0.25">
      <c r="A16" s="189"/>
      <c r="B16" s="189"/>
      <c r="C16" s="189"/>
      <c r="D16" s="189"/>
      <c r="E16" s="189"/>
      <c r="F16" s="189"/>
      <c r="G16" s="189"/>
      <c r="H16" s="189"/>
    </row>
    <row r="17" spans="1:8" x14ac:dyDescent="0.25">
      <c r="A17" s="189"/>
      <c r="B17" s="189"/>
      <c r="C17" s="189"/>
      <c r="D17" s="189"/>
      <c r="E17" s="189"/>
      <c r="F17" s="189"/>
      <c r="G17" s="189"/>
      <c r="H17" s="189"/>
    </row>
    <row r="18" spans="1:8" x14ac:dyDescent="0.25">
      <c r="A18" s="189"/>
      <c r="B18" s="189"/>
      <c r="C18" s="189"/>
      <c r="D18" s="189"/>
      <c r="E18" s="189"/>
      <c r="F18" s="189"/>
      <c r="G18" s="189"/>
      <c r="H18" s="189"/>
    </row>
    <row r="19" spans="1:8" x14ac:dyDescent="0.25">
      <c r="A19" s="189"/>
      <c r="B19" s="189"/>
      <c r="C19" s="189"/>
      <c r="D19" s="189"/>
      <c r="E19" s="189"/>
      <c r="F19" s="189"/>
      <c r="G19" s="189"/>
      <c r="H19" s="189"/>
    </row>
    <row r="20" spans="1:8" x14ac:dyDescent="0.25">
      <c r="A20" s="189"/>
      <c r="B20" s="189"/>
      <c r="C20" s="189"/>
      <c r="D20" s="189"/>
      <c r="E20" s="189"/>
      <c r="F20" s="189"/>
      <c r="G20" s="189"/>
      <c r="H20" s="189"/>
    </row>
    <row r="21" spans="1:8" x14ac:dyDescent="0.25">
      <c r="A21" s="189"/>
      <c r="B21" s="189"/>
      <c r="C21" s="189"/>
      <c r="D21" s="189"/>
      <c r="E21" s="189"/>
      <c r="F21" s="189"/>
      <c r="G21" s="189"/>
      <c r="H21" s="189"/>
    </row>
    <row r="22" spans="1:8" x14ac:dyDescent="0.25">
      <c r="A22" s="189"/>
      <c r="B22" s="189"/>
      <c r="C22" s="189"/>
      <c r="D22" s="189"/>
      <c r="E22" s="189"/>
      <c r="F22" s="189"/>
      <c r="G22" s="189"/>
      <c r="H22" s="189"/>
    </row>
    <row r="23" spans="1:8" x14ac:dyDescent="0.25">
      <c r="A23" s="189"/>
      <c r="B23" s="189"/>
      <c r="C23" s="189"/>
      <c r="D23" s="189"/>
      <c r="E23" s="189"/>
      <c r="F23" s="189"/>
      <c r="G23" s="189"/>
      <c r="H23" s="189"/>
    </row>
    <row r="24" spans="1:8" x14ac:dyDescent="0.25">
      <c r="A24" s="189"/>
      <c r="B24" s="189"/>
      <c r="C24" s="189"/>
      <c r="D24" s="189"/>
      <c r="E24" s="189"/>
      <c r="F24" s="189"/>
      <c r="G24" s="189"/>
      <c r="H24" s="189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I139"/>
  <sheetViews>
    <sheetView zoomScaleNormal="100" workbookViewId="0"/>
  </sheetViews>
  <sheetFormatPr baseColWidth="10" defaultRowHeight="15" x14ac:dyDescent="0.25"/>
  <cols>
    <col min="1" max="1" width="4" customWidth="1"/>
    <col min="2" max="2" width="5.28515625" customWidth="1"/>
    <col min="3" max="3" width="13.7109375" customWidth="1"/>
    <col min="4" max="4" width="14.85546875" customWidth="1"/>
    <col min="5" max="5" width="15.140625" customWidth="1"/>
    <col min="8" max="8" width="2.42578125" customWidth="1"/>
    <col min="9" max="9" width="1.7109375" customWidth="1"/>
    <col min="10" max="10" width="2.140625" customWidth="1"/>
    <col min="11" max="11" width="5" customWidth="1"/>
    <col min="12" max="12" width="8.28515625" customWidth="1"/>
    <col min="13" max="13" width="5.28515625" customWidth="1"/>
    <col min="14" max="14" width="5.42578125" customWidth="1"/>
    <col min="15" max="15" width="4.7109375" customWidth="1"/>
    <col min="16" max="16" width="6" customWidth="1"/>
    <col min="17" max="17" width="4.5703125" customWidth="1"/>
    <col min="18" max="18" width="5.85546875" customWidth="1"/>
    <col min="19" max="19" width="4.42578125" customWidth="1"/>
    <col min="20" max="20" width="5.5703125" customWidth="1"/>
    <col min="21" max="21" width="2.28515625" customWidth="1"/>
    <col min="22" max="22" width="1.7109375" customWidth="1"/>
    <col min="23" max="23" width="2.140625" customWidth="1"/>
    <col min="24" max="24" width="9.140625" customWidth="1"/>
    <col min="25" max="25" width="7.42578125" customWidth="1"/>
    <col min="26" max="31" width="6.7109375" style="17" customWidth="1"/>
    <col min="32" max="32" width="6.28515625" style="17" customWidth="1"/>
    <col min="33" max="33" width="10.28515625" customWidth="1"/>
    <col min="34" max="34" width="2.7109375" customWidth="1"/>
    <col min="35" max="35" width="3.28515625" customWidth="1"/>
    <col min="36" max="42" width="12.7109375" customWidth="1"/>
    <col min="43" max="43" width="5.7109375" customWidth="1"/>
    <col min="44" max="44" width="12.28515625" customWidth="1"/>
    <col min="45" max="45" width="12.42578125" customWidth="1"/>
    <col min="46" max="46" width="4.42578125" customWidth="1"/>
    <col min="47" max="47" width="9" customWidth="1"/>
    <col min="48" max="48" width="12.42578125" customWidth="1"/>
    <col min="49" max="49" width="12.28515625" customWidth="1"/>
    <col min="50" max="50" width="15" customWidth="1"/>
    <col min="51" max="51" width="5.7109375" customWidth="1"/>
    <col min="52" max="52" width="8" customWidth="1"/>
    <col min="53" max="53" width="5.85546875" customWidth="1"/>
    <col min="54" max="54" width="3.85546875" customWidth="1"/>
    <col min="56" max="56" width="9.140625" customWidth="1"/>
    <col min="57" max="57" width="5.28515625" customWidth="1"/>
    <col min="58" max="58" width="3.7109375" customWidth="1"/>
    <col min="59" max="59" width="4.28515625" customWidth="1"/>
    <col min="60" max="60" width="2.5703125" customWidth="1"/>
    <col min="61" max="61" width="4.140625" customWidth="1"/>
    <col min="62" max="62" width="2.42578125" customWidth="1"/>
    <col min="63" max="63" width="4.140625" customWidth="1"/>
    <col min="64" max="64" width="2.28515625" customWidth="1"/>
    <col min="65" max="65" width="4" customWidth="1"/>
    <col min="66" max="66" width="8.7109375" customWidth="1"/>
    <col min="67" max="67" width="3.42578125" customWidth="1"/>
    <col min="68" max="68" width="8.7109375" customWidth="1"/>
    <col min="69" max="69" width="4.28515625" customWidth="1"/>
    <col min="70" max="70" width="8.7109375" customWidth="1"/>
    <col min="71" max="71" width="3.42578125" customWidth="1"/>
    <col min="72" max="72" width="8.7109375" customWidth="1"/>
    <col min="73" max="73" width="3.28515625" customWidth="1"/>
    <col min="74" max="74" width="8.7109375" customWidth="1"/>
    <col min="75" max="75" width="4.7109375" customWidth="1"/>
    <col min="87" max="87" width="4.28515625" customWidth="1"/>
  </cols>
  <sheetData>
    <row r="1" spans="1:87" ht="15.75" x14ac:dyDescent="0.25">
      <c r="A1" s="68"/>
      <c r="B1" s="68"/>
      <c r="C1" s="70" t="s">
        <v>79</v>
      </c>
      <c r="D1" s="68"/>
      <c r="E1" s="68"/>
      <c r="F1" s="68"/>
      <c r="G1" s="68"/>
      <c r="H1" s="68"/>
      <c r="I1" s="68"/>
      <c r="J1" s="68"/>
      <c r="K1" s="70" t="s">
        <v>80</v>
      </c>
      <c r="L1" s="68"/>
      <c r="M1" s="68"/>
      <c r="N1" s="68"/>
      <c r="O1" s="68"/>
      <c r="P1" s="68"/>
      <c r="Q1" s="68"/>
      <c r="R1" s="70"/>
      <c r="S1" s="70"/>
      <c r="T1" s="70"/>
      <c r="U1" s="70"/>
      <c r="V1" s="39"/>
      <c r="W1" s="68"/>
      <c r="X1" s="70" t="s">
        <v>81</v>
      </c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39"/>
      <c r="AJ1" s="70"/>
      <c r="AK1" s="70" t="s">
        <v>82</v>
      </c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19"/>
      <c r="BR1" s="19"/>
      <c r="BS1" s="19"/>
      <c r="BT1" s="19"/>
      <c r="BU1" s="19"/>
      <c r="BV1" s="19"/>
      <c r="BW1" s="19"/>
    </row>
    <row r="2" spans="1:87" x14ac:dyDescent="0.25">
      <c r="A2" s="19"/>
      <c r="B2" s="19"/>
      <c r="C2" s="19"/>
      <c r="D2" s="19"/>
      <c r="E2" s="19"/>
      <c r="F2" s="19"/>
      <c r="G2" s="19"/>
      <c r="H2" s="19"/>
      <c r="I2" s="3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3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</row>
    <row r="3" spans="1:87" ht="18" customHeight="1" x14ac:dyDescent="0.35">
      <c r="A3" s="19"/>
      <c r="B3" s="19"/>
      <c r="C3" s="132" t="s">
        <v>67</v>
      </c>
      <c r="D3" s="181" t="s">
        <v>65</v>
      </c>
      <c r="E3" s="182" t="s">
        <v>66</v>
      </c>
      <c r="F3" s="191" t="s">
        <v>22</v>
      </c>
      <c r="G3" s="192"/>
      <c r="H3" s="19"/>
      <c r="I3" s="67"/>
      <c r="J3" s="19"/>
      <c r="K3" s="142" t="s">
        <v>78</v>
      </c>
      <c r="L3" s="143"/>
      <c r="M3" s="143"/>
      <c r="N3" s="143"/>
      <c r="O3" s="198" t="str">
        <f>CONCATENATE(D3,E3)</f>
        <v>Menge in kg</v>
      </c>
      <c r="P3" s="198"/>
      <c r="Q3" s="198"/>
      <c r="R3" s="143"/>
      <c r="S3" s="143"/>
      <c r="T3" s="144"/>
      <c r="U3" s="19"/>
      <c r="V3" s="67"/>
      <c r="W3" s="19"/>
      <c r="X3" s="193" t="s">
        <v>16</v>
      </c>
      <c r="Y3" s="194"/>
      <c r="Z3" s="194"/>
      <c r="AA3" s="194"/>
      <c r="AB3" s="194"/>
      <c r="AC3" s="194"/>
      <c r="AD3" s="194"/>
      <c r="AE3" s="195"/>
      <c r="AF3" s="19"/>
      <c r="AG3" s="19"/>
      <c r="AH3" s="19"/>
      <c r="AI3" s="19"/>
      <c r="AJ3" s="193" t="s">
        <v>64</v>
      </c>
      <c r="AK3" s="194"/>
      <c r="AL3" s="194"/>
      <c r="AM3" s="194"/>
      <c r="AN3" s="194"/>
      <c r="AO3" s="194"/>
      <c r="AP3" s="195"/>
      <c r="AQ3" s="19"/>
      <c r="AR3" s="200" t="s">
        <v>18</v>
      </c>
      <c r="AS3" s="191"/>
      <c r="AT3" s="163"/>
      <c r="AU3" s="164" t="s">
        <v>36</v>
      </c>
      <c r="AV3" s="19"/>
      <c r="AW3" s="19"/>
      <c r="AX3" s="19"/>
      <c r="AY3" s="19"/>
      <c r="AZ3" s="19"/>
      <c r="BA3" s="19"/>
      <c r="BB3" s="19"/>
      <c r="BC3" s="7" t="s">
        <v>43</v>
      </c>
      <c r="BD3" s="19"/>
      <c r="BE3" s="19"/>
      <c r="BF3" s="19"/>
      <c r="BG3" s="86" t="s">
        <v>60</v>
      </c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27" t="s">
        <v>45</v>
      </c>
      <c r="BV3" s="11">
        <f>$AU$5</f>
        <v>72.875</v>
      </c>
      <c r="BW3" s="19"/>
    </row>
    <row r="4" spans="1:87" ht="22.5" customHeight="1" x14ac:dyDescent="0.35">
      <c r="A4" s="19"/>
      <c r="B4" s="19"/>
      <c r="C4" s="134" t="s">
        <v>19</v>
      </c>
      <c r="D4" s="135" t="s">
        <v>21</v>
      </c>
      <c r="E4" s="135" t="s">
        <v>20</v>
      </c>
      <c r="F4" s="134" t="s">
        <v>23</v>
      </c>
      <c r="G4" s="134" t="s">
        <v>24</v>
      </c>
      <c r="H4" s="19"/>
      <c r="I4" s="67"/>
      <c r="J4" s="19"/>
      <c r="K4" s="145"/>
      <c r="L4" s="146"/>
      <c r="M4" s="77"/>
      <c r="N4" s="71" t="str">
        <f>B7</f>
        <v>C</v>
      </c>
      <c r="O4" s="77"/>
      <c r="P4" s="77" t="str">
        <f>C7</f>
        <v>Katalysator</v>
      </c>
      <c r="Q4" s="77"/>
      <c r="R4" s="77"/>
      <c r="S4" s="77"/>
      <c r="T4" s="79"/>
      <c r="U4" s="19"/>
      <c r="V4" s="67"/>
      <c r="W4" s="19"/>
      <c r="X4" s="4" t="s">
        <v>15</v>
      </c>
      <c r="Y4" s="4" t="s">
        <v>0</v>
      </c>
      <c r="Z4" s="4" t="s">
        <v>1</v>
      </c>
      <c r="AA4" s="4" t="s">
        <v>2</v>
      </c>
      <c r="AB4" s="4" t="s">
        <v>11</v>
      </c>
      <c r="AC4" s="4" t="s">
        <v>12</v>
      </c>
      <c r="AD4" s="4" t="s">
        <v>13</v>
      </c>
      <c r="AE4" s="4" t="s">
        <v>14</v>
      </c>
      <c r="AF4" s="19"/>
      <c r="AG4" s="2" t="s">
        <v>6</v>
      </c>
      <c r="AH4" s="19"/>
      <c r="AI4" s="19"/>
      <c r="AJ4" s="4" t="s">
        <v>0</v>
      </c>
      <c r="AK4" s="4" t="s">
        <v>1</v>
      </c>
      <c r="AL4" s="4" t="s">
        <v>2</v>
      </c>
      <c r="AM4" s="4" t="s">
        <v>11</v>
      </c>
      <c r="AN4" s="4" t="s">
        <v>12</v>
      </c>
      <c r="AO4" s="4" t="s">
        <v>13</v>
      </c>
      <c r="AP4" s="4" t="s">
        <v>14</v>
      </c>
      <c r="AQ4" s="19"/>
      <c r="AR4" s="132" t="s">
        <v>39</v>
      </c>
      <c r="AS4" s="133" t="str">
        <f>D3</f>
        <v xml:space="preserve">Menge in </v>
      </c>
      <c r="AT4" s="165" t="str">
        <f>E3</f>
        <v>kg</v>
      </c>
      <c r="AU4" s="135" t="s">
        <v>42</v>
      </c>
      <c r="AV4" s="156" t="s">
        <v>38</v>
      </c>
      <c r="AW4" s="134" t="s">
        <v>40</v>
      </c>
      <c r="AX4" s="136" t="s">
        <v>37</v>
      </c>
      <c r="AY4" s="102"/>
      <c r="AZ4" s="134" t="s">
        <v>127</v>
      </c>
      <c r="BA4" s="19"/>
      <c r="BB4" s="7" t="s">
        <v>0</v>
      </c>
      <c r="BC4" s="9">
        <v>177</v>
      </c>
      <c r="BD4" s="15">
        <f>(BC4-AVERAGE(F5:G5))/(G5-F5)*2</f>
        <v>0.7</v>
      </c>
      <c r="BE4" s="7" t="s">
        <v>61</v>
      </c>
      <c r="BF4" s="19"/>
      <c r="BG4" s="93" t="s">
        <v>47</v>
      </c>
      <c r="BH4" s="76" t="s">
        <v>44</v>
      </c>
      <c r="BI4" s="76" t="s">
        <v>48</v>
      </c>
      <c r="BJ4" s="24"/>
      <c r="BK4" s="24"/>
      <c r="BL4" s="24"/>
      <c r="BM4" s="24"/>
      <c r="BN4" s="24"/>
      <c r="BO4" s="24"/>
      <c r="BP4" s="24"/>
      <c r="BQ4" s="23"/>
      <c r="BR4" s="25">
        <f>$AU$6</f>
        <v>13.125</v>
      </c>
      <c r="BS4" s="23" t="s">
        <v>44</v>
      </c>
      <c r="BT4" s="26">
        <f>$BD$4</f>
        <v>0.7</v>
      </c>
      <c r="BU4" s="27" t="s">
        <v>45</v>
      </c>
      <c r="BV4" s="1">
        <f>BR4*BT4*$AY6</f>
        <v>9.1875</v>
      </c>
      <c r="BW4" s="19"/>
    </row>
    <row r="5" spans="1:87" ht="15" customHeight="1" x14ac:dyDescent="0.35">
      <c r="A5" s="19"/>
      <c r="B5" s="136" t="s">
        <v>0</v>
      </c>
      <c r="C5" s="179" t="s">
        <v>26</v>
      </c>
      <c r="D5" s="179" t="s">
        <v>27</v>
      </c>
      <c r="E5" s="179" t="s">
        <v>28</v>
      </c>
      <c r="F5" s="179">
        <v>160</v>
      </c>
      <c r="G5" s="179">
        <v>180</v>
      </c>
      <c r="H5" s="19"/>
      <c r="I5" s="67"/>
      <c r="J5" s="19"/>
      <c r="K5" s="196" t="str">
        <f>B6</f>
        <v>B</v>
      </c>
      <c r="L5" s="197"/>
      <c r="M5" s="37"/>
      <c r="N5" s="37" t="str">
        <f>F7</f>
        <v>Kat X</v>
      </c>
      <c r="O5" s="37"/>
      <c r="P5" s="38" t="s">
        <v>68</v>
      </c>
      <c r="Q5" s="36"/>
      <c r="R5" s="37" t="str">
        <f>G7</f>
        <v>Kat Y</v>
      </c>
      <c r="S5" s="147"/>
      <c r="T5" s="38" t="s">
        <v>69</v>
      </c>
      <c r="U5" s="19"/>
      <c r="V5" s="67"/>
      <c r="W5" s="19"/>
      <c r="X5" s="83">
        <v>1</v>
      </c>
      <c r="Y5" s="83">
        <f>-1</f>
        <v>-1</v>
      </c>
      <c r="Z5" s="83">
        <f>-1</f>
        <v>-1</v>
      </c>
      <c r="AA5" s="83">
        <f>Y5*Z5</f>
        <v>1</v>
      </c>
      <c r="AB5" s="83">
        <f>-1</f>
        <v>-1</v>
      </c>
      <c r="AC5" s="83">
        <f>PRODUCT(Y5,AB5)</f>
        <v>1</v>
      </c>
      <c r="AD5" s="83">
        <f>PRODUCT(Z5,AB5)</f>
        <v>1</v>
      </c>
      <c r="AE5" s="83">
        <f>PRODUCT(Y5,Z5,AB5)</f>
        <v>-1</v>
      </c>
      <c r="AF5" s="19"/>
      <c r="AG5" s="20">
        <f>$N$8</f>
        <v>68</v>
      </c>
      <c r="AH5" s="19"/>
      <c r="AI5" s="19"/>
      <c r="AJ5" s="5">
        <f t="shared" ref="AJ5:AJ12" si="0">$Y5*$AG5</f>
        <v>-68</v>
      </c>
      <c r="AK5" s="5">
        <f t="shared" ref="AK5:AK12" si="1">$Z5*$AG5</f>
        <v>-68</v>
      </c>
      <c r="AL5" s="5">
        <f t="shared" ref="AL5:AL12" si="2">$AA5*$AG5</f>
        <v>68</v>
      </c>
      <c r="AM5" s="5">
        <f t="shared" ref="AM5:AM12" si="3">$AB5*$AG5</f>
        <v>-68</v>
      </c>
      <c r="AN5" s="5">
        <f t="shared" ref="AN5:AN12" si="4">$AC5*$AG5</f>
        <v>68</v>
      </c>
      <c r="AO5" s="5">
        <f t="shared" ref="AO5:AO12" si="5">$AD5*$AG5</f>
        <v>68</v>
      </c>
      <c r="AP5" s="5">
        <f t="shared" ref="AP5:AP12" si="6">$AE5*$AG5</f>
        <v>-68</v>
      </c>
      <c r="AQ5" s="19"/>
      <c r="AR5" s="1"/>
      <c r="AS5" s="205"/>
      <c r="AT5" s="206"/>
      <c r="AU5" s="54">
        <f>AG13</f>
        <v>72.875</v>
      </c>
      <c r="AV5" s="1"/>
      <c r="AW5" s="1"/>
      <c r="AX5" s="5"/>
      <c r="AY5" s="51"/>
      <c r="AZ5" s="51"/>
      <c r="BA5" s="19"/>
      <c r="BB5" s="7" t="s">
        <v>1</v>
      </c>
      <c r="BC5" s="9">
        <v>35</v>
      </c>
      <c r="BD5" s="15">
        <f>(BC5-AVERAGE(F6:G6))/(G6-F6)*2</f>
        <v>0.5</v>
      </c>
      <c r="BE5" s="7" t="s">
        <v>62</v>
      </c>
      <c r="BF5" s="19"/>
      <c r="BG5" s="90" t="s">
        <v>49</v>
      </c>
      <c r="BH5" s="76" t="s">
        <v>44</v>
      </c>
      <c r="BI5" s="76" t="s">
        <v>56</v>
      </c>
      <c r="BJ5" s="24"/>
      <c r="BK5" s="24"/>
      <c r="BL5" s="24"/>
      <c r="BM5" s="24"/>
      <c r="BN5" s="24"/>
      <c r="BO5" s="24"/>
      <c r="BP5" s="24"/>
      <c r="BQ5" s="23"/>
      <c r="BR5" s="25">
        <f>$AU$7</f>
        <v>-2.875</v>
      </c>
      <c r="BS5" s="23" t="s">
        <v>44</v>
      </c>
      <c r="BT5" s="26">
        <f>$BD$5</f>
        <v>0.5</v>
      </c>
      <c r="BU5" s="27" t="s">
        <v>45</v>
      </c>
      <c r="BV5" s="1">
        <f>BR5*BT5*$AY7</f>
        <v>-1.4375</v>
      </c>
      <c r="BW5" s="19"/>
    </row>
    <row r="6" spans="1:87" ht="18" customHeight="1" x14ac:dyDescent="0.35">
      <c r="A6" s="19"/>
      <c r="B6" s="136" t="s">
        <v>1</v>
      </c>
      <c r="C6" s="179" t="s">
        <v>30</v>
      </c>
      <c r="D6" s="179" t="s">
        <v>31</v>
      </c>
      <c r="E6" s="179" t="s">
        <v>28</v>
      </c>
      <c r="F6" s="179">
        <v>20</v>
      </c>
      <c r="G6" s="179">
        <v>40</v>
      </c>
      <c r="H6" s="19"/>
      <c r="I6" s="67"/>
      <c r="J6" s="19"/>
      <c r="K6" s="196" t="str">
        <f>C6</f>
        <v>Konzentration</v>
      </c>
      <c r="L6" s="197"/>
      <c r="M6" s="34"/>
      <c r="N6" s="76" t="str">
        <f>B5</f>
        <v>A</v>
      </c>
      <c r="O6" s="34"/>
      <c r="P6" s="34" t="str">
        <f>C5</f>
        <v>Temperatur</v>
      </c>
      <c r="Q6" s="34"/>
      <c r="R6" s="34"/>
      <c r="S6" s="34"/>
      <c r="T6" s="35"/>
      <c r="U6" s="19"/>
      <c r="V6" s="67"/>
      <c r="W6" s="19"/>
      <c r="X6" s="83">
        <v>1</v>
      </c>
      <c r="Y6" s="83">
        <v>1</v>
      </c>
      <c r="Z6" s="83">
        <f>-1</f>
        <v>-1</v>
      </c>
      <c r="AA6" s="83">
        <f t="shared" ref="AA6:AA11" si="7">PRODUCT(Y6:Z6)</f>
        <v>-1</v>
      </c>
      <c r="AB6" s="83">
        <f>-1</f>
        <v>-1</v>
      </c>
      <c r="AC6" s="83">
        <f t="shared" ref="AC6:AC12" si="8">PRODUCT(Y6,AB6)</f>
        <v>-1</v>
      </c>
      <c r="AD6" s="83">
        <f t="shared" ref="AD6:AD12" si="9">PRODUCT(Z6,AB6)</f>
        <v>1</v>
      </c>
      <c r="AE6" s="83">
        <f t="shared" ref="AE6:AE12" si="10">PRODUCT(Y6,Z6,AB6)</f>
        <v>1</v>
      </c>
      <c r="AF6" s="19"/>
      <c r="AG6" s="20">
        <f>$P$8</f>
        <v>82</v>
      </c>
      <c r="AH6" s="19"/>
      <c r="AI6" s="19"/>
      <c r="AJ6" s="5">
        <f t="shared" si="0"/>
        <v>82</v>
      </c>
      <c r="AK6" s="5">
        <f t="shared" si="1"/>
        <v>-82</v>
      </c>
      <c r="AL6" s="5">
        <f t="shared" si="2"/>
        <v>-82</v>
      </c>
      <c r="AM6" s="5">
        <f t="shared" si="3"/>
        <v>-82</v>
      </c>
      <c r="AN6" s="5">
        <f t="shared" si="4"/>
        <v>-82</v>
      </c>
      <c r="AO6" s="5">
        <f t="shared" si="5"/>
        <v>82</v>
      </c>
      <c r="AP6" s="5">
        <f t="shared" si="6"/>
        <v>82</v>
      </c>
      <c r="AQ6" s="19"/>
      <c r="AR6" s="6" t="s">
        <v>0</v>
      </c>
      <c r="AS6" s="207">
        <f>AJ13</f>
        <v>26.25</v>
      </c>
      <c r="AT6" s="208"/>
      <c r="AU6" s="14">
        <f t="shared" ref="AU6:AU12" si="11">AS6/2</f>
        <v>13.125</v>
      </c>
      <c r="AV6" s="13">
        <f t="shared" ref="AV6:AV12" si="12">2*AS6^2</f>
        <v>1378.125</v>
      </c>
      <c r="AW6" s="12">
        <f t="shared" ref="AW6:AW12" si="13">AV6/$AW$14</f>
        <v>2205</v>
      </c>
      <c r="AX6" s="5" t="str">
        <f>IF($AW6&gt;$AW$18,"signifikant","")</f>
        <v>signifikant</v>
      </c>
      <c r="AY6" s="5">
        <f t="shared" ref="AY6:AY12" si="14">IF($AW6&gt;$AW$18,1,0)</f>
        <v>1</v>
      </c>
      <c r="AZ6" s="187">
        <f>FDIST(AW6,1,$AU$15)</f>
        <v>4.5320645880836716E-4</v>
      </c>
      <c r="BA6" s="19"/>
      <c r="BB6" s="7" t="s">
        <v>25</v>
      </c>
      <c r="BC6" s="9" t="s">
        <v>29</v>
      </c>
      <c r="BD6" s="16">
        <v>1</v>
      </c>
      <c r="BE6" s="7" t="s">
        <v>63</v>
      </c>
      <c r="BF6" s="19"/>
      <c r="BG6" s="90" t="s">
        <v>50</v>
      </c>
      <c r="BH6" s="76" t="s">
        <v>44</v>
      </c>
      <c r="BI6" s="76" t="s">
        <v>57</v>
      </c>
      <c r="BJ6" s="91" t="s">
        <v>44</v>
      </c>
      <c r="BK6" s="91" t="s">
        <v>56</v>
      </c>
      <c r="BL6" s="24"/>
      <c r="BM6" s="24"/>
      <c r="BN6" s="24"/>
      <c r="BO6" s="24"/>
      <c r="BP6" s="24">
        <f>$AU$8</f>
        <v>0.875</v>
      </c>
      <c r="BQ6" s="23" t="s">
        <v>44</v>
      </c>
      <c r="BR6" s="25">
        <f>$BD$4</f>
        <v>0.7</v>
      </c>
      <c r="BS6" s="23" t="s">
        <v>44</v>
      </c>
      <c r="BT6" s="26">
        <f>$BD$5</f>
        <v>0.5</v>
      </c>
      <c r="BU6" s="27" t="s">
        <v>45</v>
      </c>
      <c r="BV6" s="1">
        <f>BP6*BR6*BT6*$AY8</f>
        <v>0</v>
      </c>
      <c r="BW6" s="19"/>
    </row>
    <row r="7" spans="1:87" ht="18" x14ac:dyDescent="0.35">
      <c r="A7" s="19"/>
      <c r="B7" s="136" t="s">
        <v>25</v>
      </c>
      <c r="C7" s="179" t="s">
        <v>32</v>
      </c>
      <c r="D7" s="179" t="s">
        <v>35</v>
      </c>
      <c r="E7" s="179" t="s">
        <v>29</v>
      </c>
      <c r="F7" s="179" t="s">
        <v>33</v>
      </c>
      <c r="G7" s="179" t="s">
        <v>34</v>
      </c>
      <c r="H7" s="19"/>
      <c r="I7" s="67"/>
      <c r="J7" s="19"/>
      <c r="K7" s="148"/>
      <c r="L7" s="149"/>
      <c r="M7" s="139">
        <f>F5</f>
        <v>160</v>
      </c>
      <c r="N7" s="140" t="s">
        <v>68</v>
      </c>
      <c r="O7" s="141">
        <f>G5</f>
        <v>180</v>
      </c>
      <c r="P7" s="140" t="s">
        <v>69</v>
      </c>
      <c r="Q7" s="141">
        <f>F5</f>
        <v>160</v>
      </c>
      <c r="R7" s="140" t="s">
        <v>68</v>
      </c>
      <c r="S7" s="141">
        <f>G5</f>
        <v>180</v>
      </c>
      <c r="T7" s="140" t="s">
        <v>69</v>
      </c>
      <c r="U7" s="19"/>
      <c r="V7" s="67"/>
      <c r="W7" s="19"/>
      <c r="X7" s="83">
        <v>1</v>
      </c>
      <c r="Y7" s="83">
        <f>-1</f>
        <v>-1</v>
      </c>
      <c r="Z7" s="83">
        <v>1</v>
      </c>
      <c r="AA7" s="83">
        <f t="shared" si="7"/>
        <v>-1</v>
      </c>
      <c r="AB7" s="83">
        <f>-1</f>
        <v>-1</v>
      </c>
      <c r="AC7" s="83">
        <f t="shared" si="8"/>
        <v>1</v>
      </c>
      <c r="AD7" s="83">
        <f t="shared" si="9"/>
        <v>-1</v>
      </c>
      <c r="AE7" s="83">
        <f t="shared" si="10"/>
        <v>1</v>
      </c>
      <c r="AF7" s="19"/>
      <c r="AG7" s="20">
        <f>$N$9</f>
        <v>61</v>
      </c>
      <c r="AH7" s="19"/>
      <c r="AI7" s="19"/>
      <c r="AJ7" s="5">
        <f t="shared" si="0"/>
        <v>-61</v>
      </c>
      <c r="AK7" s="5">
        <f t="shared" si="1"/>
        <v>61</v>
      </c>
      <c r="AL7" s="5">
        <f t="shared" si="2"/>
        <v>-61</v>
      </c>
      <c r="AM7" s="5">
        <f t="shared" si="3"/>
        <v>-61</v>
      </c>
      <c r="AN7" s="5">
        <f t="shared" si="4"/>
        <v>61</v>
      </c>
      <c r="AO7" s="5">
        <f t="shared" si="5"/>
        <v>-61</v>
      </c>
      <c r="AP7" s="5">
        <f t="shared" si="6"/>
        <v>61</v>
      </c>
      <c r="AQ7" s="19"/>
      <c r="AR7" s="6" t="s">
        <v>1</v>
      </c>
      <c r="AS7" s="207">
        <f>AK13</f>
        <v>-5.75</v>
      </c>
      <c r="AT7" s="208"/>
      <c r="AU7" s="14">
        <f t="shared" si="11"/>
        <v>-2.875</v>
      </c>
      <c r="AV7" s="11">
        <f t="shared" si="12"/>
        <v>66.125</v>
      </c>
      <c r="AW7" s="12">
        <f t="shared" si="13"/>
        <v>105.8</v>
      </c>
      <c r="AX7" s="154" t="str">
        <f t="shared" ref="AX7:AX12" si="15">IF($AW7&gt;$AW$18,"signifikant","")</f>
        <v>signifikant</v>
      </c>
      <c r="AY7" s="5">
        <f t="shared" si="14"/>
        <v>1</v>
      </c>
      <c r="AZ7" s="187">
        <f t="shared" ref="AZ7:AZ12" si="16">FDIST(AW7,1,$AU$15)</f>
        <v>9.3198678159195254E-3</v>
      </c>
      <c r="BA7" s="19"/>
      <c r="BB7" s="19"/>
      <c r="BC7" s="19"/>
      <c r="BD7" s="19"/>
      <c r="BE7" s="19"/>
      <c r="BF7" s="19"/>
      <c r="BG7" s="90" t="s">
        <v>51</v>
      </c>
      <c r="BH7" s="76" t="s">
        <v>44</v>
      </c>
      <c r="BI7" s="76" t="s">
        <v>59</v>
      </c>
      <c r="BJ7" s="24"/>
      <c r="BK7" s="24"/>
      <c r="BL7" s="24"/>
      <c r="BM7" s="24"/>
      <c r="BN7" s="24"/>
      <c r="BO7" s="24"/>
      <c r="BP7" s="24"/>
      <c r="BQ7" s="23"/>
      <c r="BR7" s="25">
        <f>$AU$9</f>
        <v>0.875</v>
      </c>
      <c r="BS7" s="23" t="s">
        <v>44</v>
      </c>
      <c r="BT7" s="26">
        <f>$BD$6</f>
        <v>1</v>
      </c>
      <c r="BU7" s="27" t="s">
        <v>45</v>
      </c>
      <c r="BV7" s="1">
        <f>BR7*BT7*$AY9</f>
        <v>0</v>
      </c>
      <c r="BW7" s="19"/>
    </row>
    <row r="8" spans="1:87" ht="18" x14ac:dyDescent="0.35">
      <c r="A8" s="19"/>
      <c r="B8" s="19"/>
      <c r="C8" s="19"/>
      <c r="D8" s="19"/>
      <c r="E8" s="19"/>
      <c r="F8" s="19"/>
      <c r="G8" s="19"/>
      <c r="H8" s="19"/>
      <c r="I8" s="39"/>
      <c r="J8" s="19"/>
      <c r="K8" s="44">
        <f>F6</f>
        <v>20</v>
      </c>
      <c r="L8" s="43" t="s">
        <v>68</v>
      </c>
      <c r="M8" s="138" t="s">
        <v>17</v>
      </c>
      <c r="N8" s="180">
        <v>68</v>
      </c>
      <c r="O8" s="138" t="s">
        <v>3</v>
      </c>
      <c r="P8" s="180">
        <v>82</v>
      </c>
      <c r="Q8" s="138" t="s">
        <v>7</v>
      </c>
      <c r="R8" s="180">
        <v>59</v>
      </c>
      <c r="S8" s="138" t="s">
        <v>8</v>
      </c>
      <c r="T8" s="180">
        <v>94</v>
      </c>
      <c r="U8" s="19"/>
      <c r="V8" s="39"/>
      <c r="W8" s="19"/>
      <c r="X8" s="83">
        <v>1</v>
      </c>
      <c r="Y8" s="83">
        <v>1</v>
      </c>
      <c r="Z8" s="83">
        <v>1</v>
      </c>
      <c r="AA8" s="83">
        <f>PRODUCT(X8:Z8)</f>
        <v>1</v>
      </c>
      <c r="AB8" s="84">
        <f>-1</f>
        <v>-1</v>
      </c>
      <c r="AC8" s="83">
        <f t="shared" si="8"/>
        <v>-1</v>
      </c>
      <c r="AD8" s="83">
        <f t="shared" si="9"/>
        <v>-1</v>
      </c>
      <c r="AE8" s="83">
        <f t="shared" si="10"/>
        <v>-1</v>
      </c>
      <c r="AF8" s="19"/>
      <c r="AG8" s="20">
        <f>$P$9</f>
        <v>77</v>
      </c>
      <c r="AH8" s="19"/>
      <c r="AI8" s="19"/>
      <c r="AJ8" s="5">
        <f t="shared" si="0"/>
        <v>77</v>
      </c>
      <c r="AK8" s="5">
        <f t="shared" si="1"/>
        <v>77</v>
      </c>
      <c r="AL8" s="5">
        <f t="shared" si="2"/>
        <v>77</v>
      </c>
      <c r="AM8" s="5">
        <f t="shared" si="3"/>
        <v>-77</v>
      </c>
      <c r="AN8" s="5">
        <f t="shared" si="4"/>
        <v>-77</v>
      </c>
      <c r="AO8" s="5">
        <f t="shared" si="5"/>
        <v>-77</v>
      </c>
      <c r="AP8" s="5">
        <f t="shared" si="6"/>
        <v>-77</v>
      </c>
      <c r="AQ8" s="19"/>
      <c r="AR8" s="6" t="s">
        <v>2</v>
      </c>
      <c r="AS8" s="207">
        <f>AL13</f>
        <v>1.75</v>
      </c>
      <c r="AT8" s="208"/>
      <c r="AU8" s="14">
        <f t="shared" si="11"/>
        <v>0.875</v>
      </c>
      <c r="AV8" s="11">
        <f t="shared" si="12"/>
        <v>6.125</v>
      </c>
      <c r="AW8" s="12">
        <f t="shared" si="13"/>
        <v>9.8000000000000007</v>
      </c>
      <c r="AX8" s="154" t="str">
        <f t="shared" si="15"/>
        <v/>
      </c>
      <c r="AY8" s="5">
        <f t="shared" si="14"/>
        <v>0</v>
      </c>
      <c r="AZ8" s="187">
        <f t="shared" si="16"/>
        <v>8.8677623134232886E-2</v>
      </c>
      <c r="BA8" s="19"/>
      <c r="BB8" s="19"/>
      <c r="BC8" s="55" t="s">
        <v>41</v>
      </c>
      <c r="BD8" s="56">
        <f>AVERAGE(AG5:AG12)+AU6*BD4*AY6+AU7*BD5*AY7+AU8*BD4*BD5*AY8+AU9*BD6*AY9+AU10*BD4*BD6*AY10+AU11*BD5*BD6*AY11+AU12*BD4*BD5*BD6*AY12</f>
        <v>84.5625</v>
      </c>
      <c r="BE8" s="19"/>
      <c r="BF8" s="19"/>
      <c r="BG8" s="90" t="s">
        <v>52</v>
      </c>
      <c r="BH8" s="76" t="s">
        <v>44</v>
      </c>
      <c r="BI8" s="76" t="s">
        <v>57</v>
      </c>
      <c r="BJ8" s="91" t="s">
        <v>44</v>
      </c>
      <c r="BK8" s="91" t="s">
        <v>59</v>
      </c>
      <c r="BL8" s="24"/>
      <c r="BM8" s="24"/>
      <c r="BN8" s="24"/>
      <c r="BO8" s="24"/>
      <c r="BP8" s="24">
        <f>$AU$10</f>
        <v>5.625</v>
      </c>
      <c r="BQ8" s="23" t="s">
        <v>44</v>
      </c>
      <c r="BR8" s="25">
        <f>$BD$4</f>
        <v>0.7</v>
      </c>
      <c r="BS8" s="23" t="s">
        <v>44</v>
      </c>
      <c r="BT8" s="26">
        <f>$BD$6</f>
        <v>1</v>
      </c>
      <c r="BU8" s="27" t="s">
        <v>45</v>
      </c>
      <c r="BV8" s="1">
        <f>BP8*BR8*BT8*$AY10</f>
        <v>3.9374999999999996</v>
      </c>
      <c r="BW8" s="19"/>
    </row>
    <row r="9" spans="1:87" ht="18" x14ac:dyDescent="0.35">
      <c r="A9" s="19"/>
      <c r="B9" s="19"/>
      <c r="C9" s="19"/>
      <c r="D9" s="19"/>
      <c r="E9" s="19"/>
      <c r="F9" s="19"/>
      <c r="G9" s="19"/>
      <c r="H9" s="19"/>
      <c r="I9" s="39"/>
      <c r="J9" s="19"/>
      <c r="K9" s="44">
        <f>G6</f>
        <v>40</v>
      </c>
      <c r="L9" s="43" t="s">
        <v>69</v>
      </c>
      <c r="M9" s="138" t="s">
        <v>4</v>
      </c>
      <c r="N9" s="180">
        <v>61</v>
      </c>
      <c r="O9" s="138" t="s">
        <v>5</v>
      </c>
      <c r="P9" s="180">
        <v>77</v>
      </c>
      <c r="Q9" s="138" t="s">
        <v>9</v>
      </c>
      <c r="R9" s="180">
        <v>51</v>
      </c>
      <c r="S9" s="138" t="s">
        <v>10</v>
      </c>
      <c r="T9" s="180">
        <v>91</v>
      </c>
      <c r="U9" s="19"/>
      <c r="V9" s="39"/>
      <c r="W9" s="19"/>
      <c r="X9" s="83">
        <v>1</v>
      </c>
      <c r="Y9" s="83">
        <f>-1</f>
        <v>-1</v>
      </c>
      <c r="Z9" s="83">
        <f>-1</f>
        <v>-1</v>
      </c>
      <c r="AA9" s="83">
        <f t="shared" si="7"/>
        <v>1</v>
      </c>
      <c r="AB9" s="84">
        <v>1</v>
      </c>
      <c r="AC9" s="83">
        <f t="shared" si="8"/>
        <v>-1</v>
      </c>
      <c r="AD9" s="83">
        <f t="shared" si="9"/>
        <v>-1</v>
      </c>
      <c r="AE9" s="83">
        <f t="shared" si="10"/>
        <v>1</v>
      </c>
      <c r="AF9" s="19"/>
      <c r="AG9" s="20">
        <f>R8</f>
        <v>59</v>
      </c>
      <c r="AH9" s="19"/>
      <c r="AI9" s="19"/>
      <c r="AJ9" s="5">
        <f t="shared" si="0"/>
        <v>-59</v>
      </c>
      <c r="AK9" s="5">
        <f t="shared" si="1"/>
        <v>-59</v>
      </c>
      <c r="AL9" s="5">
        <f t="shared" si="2"/>
        <v>59</v>
      </c>
      <c r="AM9" s="5">
        <f t="shared" si="3"/>
        <v>59</v>
      </c>
      <c r="AN9" s="5">
        <f t="shared" si="4"/>
        <v>-59</v>
      </c>
      <c r="AO9" s="5">
        <f t="shared" si="5"/>
        <v>-59</v>
      </c>
      <c r="AP9" s="5">
        <f t="shared" si="6"/>
        <v>59</v>
      </c>
      <c r="AQ9" s="19"/>
      <c r="AR9" s="6" t="s">
        <v>11</v>
      </c>
      <c r="AS9" s="207">
        <f>AM13</f>
        <v>1.75</v>
      </c>
      <c r="AT9" s="208"/>
      <c r="AU9" s="14">
        <f t="shared" si="11"/>
        <v>0.875</v>
      </c>
      <c r="AV9" s="11">
        <f t="shared" si="12"/>
        <v>6.125</v>
      </c>
      <c r="AW9" s="12">
        <f t="shared" si="13"/>
        <v>9.8000000000000007</v>
      </c>
      <c r="AX9" s="154" t="str">
        <f t="shared" si="15"/>
        <v/>
      </c>
      <c r="AY9" s="5">
        <f t="shared" si="14"/>
        <v>0</v>
      </c>
      <c r="AZ9" s="187">
        <f t="shared" si="16"/>
        <v>8.8677623134232886E-2</v>
      </c>
      <c r="BA9" s="19"/>
      <c r="BB9" s="19"/>
      <c r="BC9" s="19"/>
      <c r="BD9" s="19"/>
      <c r="BE9" s="19"/>
      <c r="BF9" s="19"/>
      <c r="BG9" s="90" t="s">
        <v>53</v>
      </c>
      <c r="BH9" s="76" t="s">
        <v>44</v>
      </c>
      <c r="BI9" s="76" t="s">
        <v>55</v>
      </c>
      <c r="BJ9" s="91" t="s">
        <v>44</v>
      </c>
      <c r="BK9" s="91" t="s">
        <v>58</v>
      </c>
      <c r="BL9" s="24"/>
      <c r="BM9" s="24"/>
      <c r="BN9" s="24"/>
      <c r="BO9" s="24"/>
      <c r="BP9" s="24">
        <f>$AU$11</f>
        <v>0.125</v>
      </c>
      <c r="BQ9" s="23" t="s">
        <v>44</v>
      </c>
      <c r="BR9" s="25">
        <f>$BD$5</f>
        <v>0.5</v>
      </c>
      <c r="BS9" s="23" t="s">
        <v>44</v>
      </c>
      <c r="BT9" s="26">
        <f>$BD$6</f>
        <v>1</v>
      </c>
      <c r="BU9" s="27" t="s">
        <v>45</v>
      </c>
      <c r="BV9" s="1">
        <f>BP9*BR9*BT9*$AY11</f>
        <v>0</v>
      </c>
      <c r="BW9" s="19"/>
    </row>
    <row r="10" spans="1:87" ht="18" x14ac:dyDescent="0.35">
      <c r="A10" s="19"/>
      <c r="B10" s="19"/>
      <c r="C10" s="19"/>
      <c r="D10" s="19"/>
      <c r="E10" s="19"/>
      <c r="F10" s="19"/>
      <c r="G10" s="19"/>
      <c r="H10" s="19"/>
      <c r="I10" s="3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9"/>
      <c r="W10" s="19"/>
      <c r="X10" s="83">
        <v>1</v>
      </c>
      <c r="Y10" s="83">
        <v>1</v>
      </c>
      <c r="Z10" s="83">
        <f>-1</f>
        <v>-1</v>
      </c>
      <c r="AA10" s="83">
        <f t="shared" si="7"/>
        <v>-1</v>
      </c>
      <c r="AB10" s="84">
        <v>1</v>
      </c>
      <c r="AC10" s="83">
        <f t="shared" si="8"/>
        <v>1</v>
      </c>
      <c r="AD10" s="83">
        <f t="shared" si="9"/>
        <v>-1</v>
      </c>
      <c r="AE10" s="83">
        <f t="shared" si="10"/>
        <v>-1</v>
      </c>
      <c r="AF10" s="19"/>
      <c r="AG10" s="20">
        <f>T8</f>
        <v>94</v>
      </c>
      <c r="AH10" s="19"/>
      <c r="AI10" s="19"/>
      <c r="AJ10" s="5">
        <f t="shared" si="0"/>
        <v>94</v>
      </c>
      <c r="AK10" s="5">
        <f t="shared" si="1"/>
        <v>-94</v>
      </c>
      <c r="AL10" s="5">
        <f t="shared" si="2"/>
        <v>-94</v>
      </c>
      <c r="AM10" s="5">
        <f t="shared" si="3"/>
        <v>94</v>
      </c>
      <c r="AN10" s="5">
        <f t="shared" si="4"/>
        <v>94</v>
      </c>
      <c r="AO10" s="5">
        <f t="shared" si="5"/>
        <v>-94</v>
      </c>
      <c r="AP10" s="5">
        <f t="shared" si="6"/>
        <v>-94</v>
      </c>
      <c r="AQ10" s="19"/>
      <c r="AR10" s="6" t="s">
        <v>12</v>
      </c>
      <c r="AS10" s="207">
        <f>AN13</f>
        <v>11.25</v>
      </c>
      <c r="AT10" s="208"/>
      <c r="AU10" s="14">
        <f t="shared" si="11"/>
        <v>5.625</v>
      </c>
      <c r="AV10" s="11">
        <f t="shared" si="12"/>
        <v>253.125</v>
      </c>
      <c r="AW10" s="12">
        <f t="shared" si="13"/>
        <v>405</v>
      </c>
      <c r="AX10" s="154" t="str">
        <f t="shared" si="15"/>
        <v>signifikant</v>
      </c>
      <c r="AY10" s="5">
        <f t="shared" si="14"/>
        <v>1</v>
      </c>
      <c r="AZ10" s="187">
        <f t="shared" si="16"/>
        <v>2.4600283266865072E-3</v>
      </c>
      <c r="BA10" s="19"/>
      <c r="BB10" s="19"/>
      <c r="BC10" s="19"/>
      <c r="BD10" s="19"/>
      <c r="BE10" s="19"/>
      <c r="BF10" s="19"/>
      <c r="BG10" s="86" t="s">
        <v>54</v>
      </c>
      <c r="BH10" s="87" t="s">
        <v>44</v>
      </c>
      <c r="BI10" s="87" t="s">
        <v>57</v>
      </c>
      <c r="BJ10" s="92" t="s">
        <v>44</v>
      </c>
      <c r="BK10" s="92" t="s">
        <v>55</v>
      </c>
      <c r="BL10" s="92" t="s">
        <v>44</v>
      </c>
      <c r="BM10" s="92" t="s">
        <v>58</v>
      </c>
      <c r="BN10" s="30">
        <f>$AU$12</f>
        <v>0.375</v>
      </c>
      <c r="BO10" s="30" t="s">
        <v>44</v>
      </c>
      <c r="BP10" s="30">
        <f>$BD$4</f>
        <v>0.7</v>
      </c>
      <c r="BQ10" s="29" t="s">
        <v>44</v>
      </c>
      <c r="BR10" s="31">
        <f>$BD$5</f>
        <v>0.5</v>
      </c>
      <c r="BS10" s="29" t="s">
        <v>44</v>
      </c>
      <c r="BT10" s="26">
        <f>$BD$6</f>
        <v>1</v>
      </c>
      <c r="BU10" s="27" t="s">
        <v>45</v>
      </c>
      <c r="BV10" s="32">
        <f>BN10*BP10*BR10*BT10*$AY12</f>
        <v>0</v>
      </c>
      <c r="BW10" s="19"/>
    </row>
    <row r="11" spans="1:87" x14ac:dyDescent="0.25">
      <c r="A11" s="19"/>
      <c r="B11" s="19"/>
      <c r="C11" s="19"/>
      <c r="D11" s="19"/>
      <c r="E11" s="19"/>
      <c r="F11" s="19"/>
      <c r="G11" s="19"/>
      <c r="H11" s="19"/>
      <c r="I11" s="3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9"/>
      <c r="W11" s="19"/>
      <c r="X11" s="83">
        <v>1</v>
      </c>
      <c r="Y11" s="83">
        <f>-1</f>
        <v>-1</v>
      </c>
      <c r="Z11" s="83">
        <v>1</v>
      </c>
      <c r="AA11" s="83">
        <f t="shared" si="7"/>
        <v>-1</v>
      </c>
      <c r="AB11" s="84">
        <v>1</v>
      </c>
      <c r="AC11" s="83">
        <f t="shared" si="8"/>
        <v>-1</v>
      </c>
      <c r="AD11" s="83">
        <f t="shared" si="9"/>
        <v>1</v>
      </c>
      <c r="AE11" s="83">
        <f t="shared" si="10"/>
        <v>-1</v>
      </c>
      <c r="AF11" s="19"/>
      <c r="AG11" s="20">
        <f>$R$9</f>
        <v>51</v>
      </c>
      <c r="AH11" s="19"/>
      <c r="AI11" s="19"/>
      <c r="AJ11" s="5">
        <f t="shared" si="0"/>
        <v>-51</v>
      </c>
      <c r="AK11" s="5">
        <f t="shared" si="1"/>
        <v>51</v>
      </c>
      <c r="AL11" s="5">
        <f t="shared" si="2"/>
        <v>-51</v>
      </c>
      <c r="AM11" s="5">
        <f t="shared" si="3"/>
        <v>51</v>
      </c>
      <c r="AN11" s="5">
        <f t="shared" si="4"/>
        <v>-51</v>
      </c>
      <c r="AO11" s="5">
        <f t="shared" si="5"/>
        <v>51</v>
      </c>
      <c r="AP11" s="5">
        <f t="shared" si="6"/>
        <v>-51</v>
      </c>
      <c r="AQ11" s="19"/>
      <c r="AR11" s="6" t="s">
        <v>13</v>
      </c>
      <c r="AS11" s="207">
        <f>AO13</f>
        <v>0.25</v>
      </c>
      <c r="AT11" s="208"/>
      <c r="AU11" s="14">
        <f t="shared" si="11"/>
        <v>0.125</v>
      </c>
      <c r="AV11" s="11">
        <f t="shared" si="12"/>
        <v>0.125</v>
      </c>
      <c r="AW11" s="12">
        <f t="shared" si="13"/>
        <v>0.2</v>
      </c>
      <c r="AX11" s="154" t="str">
        <f t="shared" si="15"/>
        <v/>
      </c>
      <c r="AY11" s="5">
        <f t="shared" si="14"/>
        <v>0</v>
      </c>
      <c r="AZ11" s="187">
        <f t="shared" si="16"/>
        <v>0.69848865542223637</v>
      </c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28" t="s">
        <v>46</v>
      </c>
      <c r="BU11" s="57" t="s">
        <v>45</v>
      </c>
      <c r="BV11" s="94">
        <f>SUM(BV3:BV10)</f>
        <v>84.5625</v>
      </c>
      <c r="BW11" s="19"/>
    </row>
    <row r="12" spans="1:87" x14ac:dyDescent="0.25">
      <c r="A12" s="19"/>
      <c r="B12" s="19"/>
      <c r="C12" s="19"/>
      <c r="D12" s="19"/>
      <c r="E12" s="19"/>
      <c r="F12" s="19"/>
      <c r="G12" s="19"/>
      <c r="H12" s="19"/>
      <c r="I12" s="3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9"/>
      <c r="W12" s="19"/>
      <c r="X12" s="83">
        <v>1</v>
      </c>
      <c r="Y12" s="83">
        <v>1</v>
      </c>
      <c r="Z12" s="83">
        <v>1</v>
      </c>
      <c r="AA12" s="83">
        <f>PRODUCT(X12:Z12)</f>
        <v>1</v>
      </c>
      <c r="AB12" s="84">
        <v>1</v>
      </c>
      <c r="AC12" s="83">
        <f t="shared" si="8"/>
        <v>1</v>
      </c>
      <c r="AD12" s="83">
        <f t="shared" si="9"/>
        <v>1</v>
      </c>
      <c r="AE12" s="83">
        <f t="shared" si="10"/>
        <v>1</v>
      </c>
      <c r="AF12" s="19"/>
      <c r="AG12" s="20">
        <f>$T$9</f>
        <v>91</v>
      </c>
      <c r="AH12" s="19"/>
      <c r="AI12" s="19"/>
      <c r="AJ12" s="5">
        <f t="shared" si="0"/>
        <v>91</v>
      </c>
      <c r="AK12" s="5">
        <f t="shared" si="1"/>
        <v>91</v>
      </c>
      <c r="AL12" s="5">
        <f t="shared" si="2"/>
        <v>91</v>
      </c>
      <c r="AM12" s="5">
        <f t="shared" si="3"/>
        <v>91</v>
      </c>
      <c r="AN12" s="5">
        <f t="shared" si="4"/>
        <v>91</v>
      </c>
      <c r="AO12" s="5">
        <f t="shared" si="5"/>
        <v>91</v>
      </c>
      <c r="AP12" s="5">
        <f t="shared" si="6"/>
        <v>91</v>
      </c>
      <c r="AQ12" s="19"/>
      <c r="AR12" s="6" t="s">
        <v>14</v>
      </c>
      <c r="AS12" s="207">
        <f>AP13</f>
        <v>0.75</v>
      </c>
      <c r="AT12" s="208"/>
      <c r="AU12" s="14">
        <f t="shared" si="11"/>
        <v>0.375</v>
      </c>
      <c r="AV12" s="11">
        <f t="shared" si="12"/>
        <v>1.125</v>
      </c>
      <c r="AW12" s="12">
        <f t="shared" si="13"/>
        <v>1.8</v>
      </c>
      <c r="AX12" s="154" t="str">
        <f t="shared" si="15"/>
        <v/>
      </c>
      <c r="AY12" s="5">
        <f t="shared" si="14"/>
        <v>0</v>
      </c>
      <c r="AZ12" s="187">
        <f t="shared" si="16"/>
        <v>0.31175279838831471</v>
      </c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CC12" s="22"/>
      <c r="CI12" s="22"/>
    </row>
    <row r="13" spans="1:87" ht="15" customHeight="1" x14ac:dyDescent="0.25">
      <c r="A13" s="19"/>
      <c r="B13" s="19"/>
      <c r="C13" s="19"/>
      <c r="D13" s="19"/>
      <c r="E13" s="19"/>
      <c r="F13" s="19"/>
      <c r="G13" s="19"/>
      <c r="H13" s="19"/>
      <c r="I13" s="3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4">
        <f>AVERAGE(AG5:AG12)</f>
        <v>72.875</v>
      </c>
      <c r="AH13" s="19"/>
      <c r="AI13" s="19"/>
      <c r="AJ13" s="4">
        <f>SUM(AJ5:AJ12)/4</f>
        <v>26.25</v>
      </c>
      <c r="AK13" s="4">
        <f t="shared" ref="AK13:AP13" si="17">SUM(AK5:AK12)/4</f>
        <v>-5.75</v>
      </c>
      <c r="AL13" s="4">
        <f t="shared" si="17"/>
        <v>1.75</v>
      </c>
      <c r="AM13" s="4">
        <f t="shared" si="17"/>
        <v>1.75</v>
      </c>
      <c r="AN13" s="4">
        <f t="shared" si="17"/>
        <v>11.25</v>
      </c>
      <c r="AO13" s="4">
        <f t="shared" si="17"/>
        <v>0.25</v>
      </c>
      <c r="AP13" s="4">
        <f t="shared" si="17"/>
        <v>0.75</v>
      </c>
      <c r="AQ13" s="19"/>
      <c r="AR13" s="19"/>
      <c r="AS13" s="19"/>
      <c r="AT13" s="19"/>
      <c r="AU13" s="97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87" ht="14.25" customHeight="1" x14ac:dyDescent="0.35">
      <c r="A14" s="19"/>
      <c r="B14" s="19"/>
      <c r="C14" s="19"/>
      <c r="D14" s="19"/>
      <c r="E14" s="19"/>
      <c r="F14" s="19"/>
      <c r="G14" s="19"/>
      <c r="H14" s="19"/>
      <c r="I14" s="3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48" t="s">
        <v>70</v>
      </c>
      <c r="AU14" s="157">
        <f>AV11+AV12</f>
        <v>1.25</v>
      </c>
      <c r="AV14" s="203" t="s">
        <v>74</v>
      </c>
      <c r="AW14" s="201">
        <f>AU14/AU15</f>
        <v>0.625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87" ht="15" customHeight="1" x14ac:dyDescent="0.35">
      <c r="AH15" s="19"/>
      <c r="AI15" s="19"/>
      <c r="AJ15" s="193" t="s">
        <v>101</v>
      </c>
      <c r="AK15" s="194"/>
      <c r="AL15" s="194"/>
      <c r="AM15" s="194"/>
      <c r="AN15" s="194"/>
      <c r="AO15" s="194"/>
      <c r="AP15" s="195"/>
      <c r="AQ15" s="19"/>
      <c r="AR15" s="19"/>
      <c r="AS15" s="19"/>
      <c r="AT15" s="48" t="s">
        <v>71</v>
      </c>
      <c r="AU15" s="49">
        <v>2</v>
      </c>
      <c r="AV15" s="204"/>
      <c r="AW15" s="202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87" x14ac:dyDescent="0.25">
      <c r="AH16" s="19"/>
      <c r="AI16" s="19"/>
      <c r="AJ16" s="4" t="str">
        <f t="shared" ref="AJ16:AP16" si="18">AJ4</f>
        <v>A</v>
      </c>
      <c r="AK16" s="4" t="str">
        <f t="shared" si="18"/>
        <v>B</v>
      </c>
      <c r="AL16" s="5" t="str">
        <f t="shared" si="18"/>
        <v>AB</v>
      </c>
      <c r="AM16" s="4" t="str">
        <f t="shared" si="18"/>
        <v xml:space="preserve">C </v>
      </c>
      <c r="AN16" s="5" t="str">
        <f t="shared" si="18"/>
        <v>AC</v>
      </c>
      <c r="AO16" s="5" t="str">
        <f t="shared" si="18"/>
        <v>BC</v>
      </c>
      <c r="AP16" s="5" t="str">
        <f t="shared" si="18"/>
        <v>ABC</v>
      </c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24:75" x14ac:dyDescent="0.25">
      <c r="AH17" s="19"/>
      <c r="AI17" s="19"/>
      <c r="AJ17" s="4" t="str">
        <f>C5</f>
        <v>Temperatur</v>
      </c>
      <c r="AK17" s="4" t="str">
        <f>C6</f>
        <v>Konzentration</v>
      </c>
      <c r="AL17" s="5"/>
      <c r="AM17" s="4" t="str">
        <f>C7</f>
        <v>Katalysator</v>
      </c>
      <c r="AN17" s="5"/>
      <c r="AO17" s="5"/>
      <c r="AP17" s="5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</row>
    <row r="18" spans="24:75" ht="18" x14ac:dyDescent="0.35">
      <c r="AH18" s="19"/>
      <c r="AI18" s="2">
        <v>-1</v>
      </c>
      <c r="AJ18" s="64">
        <f>ABS(SUMIF(AJ5:AJ12,"&lt;0"))/COUNT(AJ5:AJ12)*2</f>
        <v>59.75</v>
      </c>
      <c r="AK18" s="64">
        <f t="shared" ref="AK18:AP18" si="19">ABS(SUMIF(AK5:AK12,"&lt;0"))/COUNT(AK5:AK12)*2</f>
        <v>75.75</v>
      </c>
      <c r="AL18" s="64">
        <f t="shared" si="19"/>
        <v>72</v>
      </c>
      <c r="AM18" s="64">
        <f t="shared" si="19"/>
        <v>72</v>
      </c>
      <c r="AN18" s="64">
        <f t="shared" si="19"/>
        <v>67.25</v>
      </c>
      <c r="AO18" s="64">
        <f t="shared" si="19"/>
        <v>72.75</v>
      </c>
      <c r="AP18" s="64">
        <f t="shared" si="19"/>
        <v>72.5</v>
      </c>
      <c r="AQ18" s="19"/>
      <c r="AR18" s="19"/>
      <c r="AS18" s="19"/>
      <c r="AT18" s="152" t="s">
        <v>72</v>
      </c>
      <c r="AU18" s="47">
        <v>0.05</v>
      </c>
      <c r="AV18" s="48" t="s">
        <v>73</v>
      </c>
      <c r="AW18" s="45">
        <f>FINV(AU18,1,$AU$15)</f>
        <v>18.512820512820511</v>
      </c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24:75" ht="18" x14ac:dyDescent="0.35">
      <c r="AA19"/>
      <c r="AE19"/>
      <c r="AH19" s="19"/>
      <c r="AI19" s="2">
        <v>1</v>
      </c>
      <c r="AJ19" s="64">
        <f>SUMIF(AJ5:AJ12,"&gt;0")/COUNT(AJ5:AJ12)*2</f>
        <v>86</v>
      </c>
      <c r="AK19" s="64">
        <f t="shared" ref="AK19:AP19" si="20">SUMIF(AK5:AK12,"&gt;0")/COUNT(AK5:AK12)*2</f>
        <v>70</v>
      </c>
      <c r="AL19" s="64">
        <f t="shared" si="20"/>
        <v>73.75</v>
      </c>
      <c r="AM19" s="64">
        <f t="shared" si="20"/>
        <v>73.75</v>
      </c>
      <c r="AN19" s="64">
        <f t="shared" si="20"/>
        <v>78.5</v>
      </c>
      <c r="AO19" s="64">
        <f t="shared" si="20"/>
        <v>73</v>
      </c>
      <c r="AP19" s="64">
        <f t="shared" si="20"/>
        <v>73.25</v>
      </c>
      <c r="AQ19" s="19"/>
      <c r="AR19" s="19"/>
      <c r="AS19" s="19"/>
      <c r="AT19" s="46" t="s">
        <v>72</v>
      </c>
      <c r="AU19" s="47">
        <v>0.01</v>
      </c>
      <c r="AV19" s="48" t="s">
        <v>73</v>
      </c>
      <c r="AW19" s="45">
        <f>FINV(AU19,1,$AU$15)</f>
        <v>98.50251256281409</v>
      </c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</row>
    <row r="20" spans="24:75" x14ac:dyDescent="0.25"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</row>
    <row r="21" spans="24:75" x14ac:dyDescent="0.25"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</row>
    <row r="22" spans="24:75" x14ac:dyDescent="0.25"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29" t="s">
        <v>117</v>
      </c>
      <c r="AT22" s="130"/>
      <c r="AU22" s="131"/>
      <c r="AV22" s="19"/>
      <c r="AW22" s="19"/>
      <c r="AX22" s="19"/>
      <c r="AY22" s="19"/>
      <c r="AZ22" s="19"/>
      <c r="BA22" s="19"/>
      <c r="BB22" s="19"/>
      <c r="BC22" s="19"/>
      <c r="BD22" s="19"/>
      <c r="BE22" s="19"/>
    </row>
    <row r="23" spans="24:75" x14ac:dyDescent="0.25"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" t="str">
        <f>AR6</f>
        <v>A</v>
      </c>
      <c r="AT23" s="1">
        <v>0</v>
      </c>
      <c r="AU23" s="15">
        <f>AW6</f>
        <v>2205</v>
      </c>
      <c r="AV23" s="19"/>
      <c r="AW23" s="19"/>
      <c r="AX23" s="19"/>
      <c r="AY23" s="19"/>
      <c r="AZ23" s="19"/>
      <c r="BA23" s="19"/>
      <c r="BB23" s="19"/>
      <c r="BC23" s="19"/>
      <c r="BD23" s="19"/>
      <c r="BE23" s="19"/>
    </row>
    <row r="24" spans="24:75" x14ac:dyDescent="0.25">
      <c r="AB24" s="18"/>
      <c r="AC24" s="18"/>
      <c r="AD24" s="18"/>
      <c r="AE24" s="18"/>
      <c r="AF24" s="18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" t="str">
        <f t="shared" ref="AS24:AS29" si="21">AR7</f>
        <v>B</v>
      </c>
      <c r="AT24" s="1">
        <v>0</v>
      </c>
      <c r="AU24" s="15">
        <f t="shared" ref="AU24:AU29" si="22">AW7</f>
        <v>105.8</v>
      </c>
      <c r="AV24" s="19"/>
      <c r="AW24" s="19"/>
      <c r="AX24" s="19"/>
      <c r="AY24" s="19"/>
      <c r="AZ24" s="19"/>
      <c r="BA24" s="19"/>
      <c r="BB24" s="19"/>
      <c r="BC24" s="19"/>
      <c r="BD24" s="19"/>
      <c r="BE24" s="19"/>
    </row>
    <row r="25" spans="24:75" x14ac:dyDescent="0.25">
      <c r="X25" s="17"/>
      <c r="Y25" s="17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" t="str">
        <f t="shared" si="21"/>
        <v>AB</v>
      </c>
      <c r="AT25" s="1">
        <v>0</v>
      </c>
      <c r="AU25" s="15">
        <f t="shared" si="22"/>
        <v>9.8000000000000007</v>
      </c>
      <c r="AV25" s="19"/>
      <c r="AW25" s="19"/>
      <c r="AX25" s="19"/>
      <c r="AY25" s="19"/>
      <c r="AZ25" s="19"/>
      <c r="BA25" s="19"/>
      <c r="BB25" s="19"/>
      <c r="BC25" s="19"/>
      <c r="BD25" s="19"/>
      <c r="BE25" s="19"/>
    </row>
    <row r="26" spans="24:75" x14ac:dyDescent="0.25">
      <c r="X26" s="17"/>
      <c r="Y26" s="17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" t="str">
        <f t="shared" si="21"/>
        <v xml:space="preserve">C </v>
      </c>
      <c r="AT26" s="1">
        <v>0</v>
      </c>
      <c r="AU26" s="15">
        <f t="shared" si="22"/>
        <v>9.8000000000000007</v>
      </c>
      <c r="AV26" s="19"/>
      <c r="AW26" s="19"/>
      <c r="AX26" s="19"/>
      <c r="AY26" s="19"/>
      <c r="AZ26" s="19"/>
      <c r="BA26" s="19"/>
      <c r="BB26" s="19"/>
      <c r="BC26" s="19"/>
      <c r="BD26" s="19"/>
      <c r="BE26" s="19"/>
    </row>
    <row r="27" spans="24:75" x14ac:dyDescent="0.25">
      <c r="X27" s="17"/>
      <c r="Y27" s="17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" t="str">
        <f t="shared" si="21"/>
        <v>AC</v>
      </c>
      <c r="AT27" s="1">
        <v>0</v>
      </c>
      <c r="AU27" s="15">
        <f t="shared" si="22"/>
        <v>405</v>
      </c>
      <c r="AV27" s="1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24:75" x14ac:dyDescent="0.25">
      <c r="Y28" s="17"/>
      <c r="Z28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" t="str">
        <f t="shared" si="21"/>
        <v>BC</v>
      </c>
      <c r="AT28" s="1">
        <v>0</v>
      </c>
      <c r="AU28" s="15">
        <f t="shared" si="22"/>
        <v>0.2</v>
      </c>
      <c r="AV28" s="1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24:75" x14ac:dyDescent="0.25"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" t="str">
        <f t="shared" si="21"/>
        <v>ABC</v>
      </c>
      <c r="AT29" s="1">
        <v>0</v>
      </c>
      <c r="AU29" s="15">
        <f t="shared" si="22"/>
        <v>1.8</v>
      </c>
      <c r="AV29" s="19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24:75" x14ac:dyDescent="0.25"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9" t="s">
        <v>118</v>
      </c>
      <c r="AT30" s="150">
        <v>0</v>
      </c>
      <c r="AU30" s="151">
        <f>AW18</f>
        <v>18.512820512820511</v>
      </c>
      <c r="AV30" s="19"/>
      <c r="AW30" s="19"/>
      <c r="AX30" s="19"/>
      <c r="AY30" s="19"/>
      <c r="AZ30" s="19"/>
      <c r="BA30" s="19"/>
      <c r="BB30" s="19"/>
      <c r="BC30" s="19"/>
      <c r="BD30" s="19"/>
      <c r="BE30" s="19"/>
    </row>
    <row r="31" spans="24:75" x14ac:dyDescent="0.25"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9"/>
      <c r="AT31" s="150">
        <v>8</v>
      </c>
      <c r="AU31" s="183">
        <f>AU30</f>
        <v>18.512820512820511</v>
      </c>
      <c r="AV31" s="19"/>
      <c r="AW31" s="19"/>
      <c r="AX31" s="19"/>
      <c r="AY31" s="19"/>
      <c r="AZ31" s="19"/>
      <c r="BA31" s="19"/>
      <c r="BB31" s="19"/>
      <c r="BC31" s="19"/>
      <c r="BD31" s="19"/>
      <c r="BE31" s="19"/>
    </row>
    <row r="32" spans="24:75" x14ac:dyDescent="0.25"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</row>
    <row r="33" spans="14:57" x14ac:dyDescent="0.25"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</row>
    <row r="34" spans="14:57" x14ac:dyDescent="0.25"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</row>
    <row r="35" spans="14:57" x14ac:dyDescent="0.25"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</row>
    <row r="36" spans="14:57" x14ac:dyDescent="0.25">
      <c r="P36" s="8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</row>
    <row r="37" spans="14:57" x14ac:dyDescent="0.25"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</row>
    <row r="38" spans="14:57" x14ac:dyDescent="0.25">
      <c r="N38" s="8"/>
      <c r="P38" s="10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</row>
    <row r="39" spans="14:57" x14ac:dyDescent="0.25">
      <c r="N39" s="8"/>
      <c r="P39" s="1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4:57" x14ac:dyDescent="0.25"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4:57" x14ac:dyDescent="0.25">
      <c r="AH41" s="19"/>
      <c r="AI41" s="19"/>
      <c r="AJ41" s="19"/>
      <c r="AK41" s="193" t="s">
        <v>75</v>
      </c>
      <c r="AL41" s="194"/>
      <c r="AM41" s="194"/>
      <c r="AN41" s="195"/>
      <c r="AO41" s="19"/>
      <c r="AP41" s="19"/>
      <c r="AQ41" s="19"/>
      <c r="AR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</row>
    <row r="42" spans="14:57" x14ac:dyDescent="0.25">
      <c r="AH42" s="19"/>
      <c r="AI42" s="19"/>
      <c r="AJ42" s="19"/>
      <c r="AK42" s="58" t="s">
        <v>0</v>
      </c>
      <c r="AL42" s="58" t="s">
        <v>1</v>
      </c>
      <c r="AM42" s="193" t="s">
        <v>46</v>
      </c>
      <c r="AN42" s="195"/>
      <c r="AO42" s="19"/>
      <c r="AP42" s="19"/>
      <c r="AQ42" s="19"/>
      <c r="AR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4:57" ht="21" customHeight="1" x14ac:dyDescent="0.25">
      <c r="AH43" s="19"/>
      <c r="AI43" s="19"/>
      <c r="AJ43" s="59" t="str">
        <f>$C$6</f>
        <v>Konzentration</v>
      </c>
      <c r="AK43" s="21">
        <v>-1</v>
      </c>
      <c r="AL43" s="5">
        <v>-1</v>
      </c>
      <c r="AM43" s="62">
        <f>($AG$5+$AG$9)/2</f>
        <v>63.5</v>
      </c>
      <c r="AN43" s="61"/>
      <c r="AO43" s="19"/>
      <c r="AP43" s="19"/>
      <c r="AQ43" s="19"/>
      <c r="AR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14:57" ht="18" x14ac:dyDescent="0.25">
      <c r="AH44" s="19"/>
      <c r="AI44" s="19"/>
      <c r="AJ44" s="60" t="s">
        <v>83</v>
      </c>
      <c r="AK44" s="21">
        <v>1</v>
      </c>
      <c r="AL44" s="5">
        <v>-1</v>
      </c>
      <c r="AM44" s="62">
        <f>($AG$6+$AG$10)/2</f>
        <v>88</v>
      </c>
      <c r="AN44" s="61"/>
      <c r="AO44" s="19"/>
      <c r="AP44" s="19"/>
      <c r="AQ44" s="19"/>
      <c r="AR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</row>
    <row r="45" spans="14:57" ht="21" customHeight="1" x14ac:dyDescent="0.25">
      <c r="AH45" s="19"/>
      <c r="AI45" s="19"/>
      <c r="AJ45" s="59" t="str">
        <f>C6</f>
        <v>Konzentration</v>
      </c>
      <c r="AK45" s="21">
        <v>-1</v>
      </c>
      <c r="AL45" s="5">
        <v>1</v>
      </c>
      <c r="AM45" s="62">
        <f>($AG$7+$AG$11)/2</f>
        <v>56</v>
      </c>
      <c r="AN45" s="61"/>
      <c r="AO45" s="19"/>
      <c r="AP45" s="19"/>
      <c r="AQ45" s="19"/>
      <c r="AR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4:57" ht="18" x14ac:dyDescent="0.25">
      <c r="AH46" s="19"/>
      <c r="AI46" s="19"/>
      <c r="AJ46" s="60" t="s">
        <v>84</v>
      </c>
      <c r="AK46" s="21">
        <v>1</v>
      </c>
      <c r="AL46" s="5">
        <v>1</v>
      </c>
      <c r="AM46" s="62">
        <f>($AG$8+$AG$12)/2</f>
        <v>84</v>
      </c>
      <c r="AN46" s="61"/>
      <c r="AO46" s="19"/>
      <c r="AP46" s="19"/>
      <c r="AQ46" s="19"/>
      <c r="AR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4:57" x14ac:dyDescent="0.25"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4:57" x14ac:dyDescent="0.25"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</row>
    <row r="49" spans="34:57" x14ac:dyDescent="0.25"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</row>
    <row r="50" spans="34:57" x14ac:dyDescent="0.25"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34:57" x14ac:dyDescent="0.25"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34:57" x14ac:dyDescent="0.25"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</row>
    <row r="53" spans="34:57" x14ac:dyDescent="0.25"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34:57" x14ac:dyDescent="0.25"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34:57" x14ac:dyDescent="0.25"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34:57" x14ac:dyDescent="0.25"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34:57" x14ac:dyDescent="0.25"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34:57" x14ac:dyDescent="0.25"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34:57" x14ac:dyDescent="0.25"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34:57" x14ac:dyDescent="0.25"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34:57" x14ac:dyDescent="0.25"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34:57" x14ac:dyDescent="0.25"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34:57" x14ac:dyDescent="0.25"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34:57" x14ac:dyDescent="0.25"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28:43" x14ac:dyDescent="0.25"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28:43" x14ac:dyDescent="0.25">
      <c r="AH66" s="19"/>
      <c r="AI66" s="19"/>
      <c r="AJ66" s="19"/>
      <c r="AK66" s="193" t="s">
        <v>76</v>
      </c>
      <c r="AL66" s="194"/>
      <c r="AM66" s="194"/>
      <c r="AN66" s="195"/>
      <c r="AO66" s="19"/>
      <c r="AP66" s="19"/>
      <c r="AQ66" s="19"/>
    </row>
    <row r="67" spans="28:43" x14ac:dyDescent="0.25">
      <c r="AH67" s="19"/>
      <c r="AI67" s="19"/>
      <c r="AJ67" s="19"/>
      <c r="AK67" s="58" t="s">
        <v>0</v>
      </c>
      <c r="AL67" s="58" t="s">
        <v>25</v>
      </c>
      <c r="AM67" s="193" t="s">
        <v>46</v>
      </c>
      <c r="AN67" s="195"/>
      <c r="AO67" s="19"/>
      <c r="AP67" s="19"/>
      <c r="AQ67" s="19"/>
    </row>
    <row r="68" spans="28:43" x14ac:dyDescent="0.25">
      <c r="AH68" s="19"/>
      <c r="AI68" s="19"/>
      <c r="AJ68" s="59" t="str">
        <f>$C$7</f>
        <v>Katalysator</v>
      </c>
      <c r="AK68" s="85">
        <v>-1</v>
      </c>
      <c r="AL68" s="5">
        <v>-1</v>
      </c>
      <c r="AM68" s="62">
        <f>($AG$5+$AG$7)/2</f>
        <v>64.5</v>
      </c>
      <c r="AN68" s="61"/>
      <c r="AO68" s="19"/>
      <c r="AP68" s="19"/>
      <c r="AQ68" s="19"/>
    </row>
    <row r="69" spans="28:43" ht="18" x14ac:dyDescent="0.25">
      <c r="AH69" s="19"/>
      <c r="AI69" s="19"/>
      <c r="AJ69" s="60" t="s">
        <v>85</v>
      </c>
      <c r="AK69" s="85">
        <v>1</v>
      </c>
      <c r="AL69" s="5">
        <v>-1</v>
      </c>
      <c r="AM69" s="62">
        <f>($AG$6+$AG$8)/2</f>
        <v>79.5</v>
      </c>
      <c r="AN69" s="61"/>
      <c r="AO69" s="19"/>
      <c r="AP69" s="19"/>
      <c r="AQ69" s="19"/>
    </row>
    <row r="70" spans="28:43" x14ac:dyDescent="0.25">
      <c r="AH70" s="19"/>
      <c r="AI70" s="19"/>
      <c r="AJ70" s="59" t="str">
        <f>$C$7</f>
        <v>Katalysator</v>
      </c>
      <c r="AK70" s="85">
        <v>-1</v>
      </c>
      <c r="AL70" s="5">
        <v>1</v>
      </c>
      <c r="AM70" s="62">
        <f>($AG$9+$AG$11)/2</f>
        <v>55</v>
      </c>
      <c r="AN70" s="61"/>
      <c r="AO70" s="19"/>
      <c r="AP70" s="19"/>
      <c r="AQ70" s="19"/>
    </row>
    <row r="71" spans="28:43" ht="18" x14ac:dyDescent="0.25">
      <c r="AH71" s="19"/>
      <c r="AI71" s="19"/>
      <c r="AJ71" s="60" t="s">
        <v>86</v>
      </c>
      <c r="AK71" s="85">
        <v>1</v>
      </c>
      <c r="AL71" s="5">
        <v>1</v>
      </c>
      <c r="AM71" s="62">
        <f>($AG$10+$AG$12)/2</f>
        <v>92.5</v>
      </c>
      <c r="AN71" s="61"/>
      <c r="AO71" s="19"/>
      <c r="AP71" s="19"/>
      <c r="AQ71" s="19"/>
    </row>
    <row r="72" spans="28:43" x14ac:dyDescent="0.25">
      <c r="AC72" s="18"/>
      <c r="AD72" s="18"/>
      <c r="AE72" s="18"/>
      <c r="AF72" s="18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28:43" x14ac:dyDescent="0.25">
      <c r="AB73" s="18"/>
      <c r="AC73" s="18"/>
      <c r="AD73" s="18"/>
      <c r="AE73" s="18"/>
      <c r="AF73" s="18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28:43" x14ac:dyDescent="0.25">
      <c r="AB74" s="18"/>
      <c r="AC74" s="18"/>
      <c r="AD74" s="18"/>
      <c r="AE74" s="18"/>
      <c r="AF74" s="18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28:43" x14ac:dyDescent="0.25">
      <c r="AB75" s="18"/>
      <c r="AC75" s="18"/>
      <c r="AD75" s="18"/>
      <c r="AE75" s="18"/>
      <c r="AF75" s="18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28:43" x14ac:dyDescent="0.25">
      <c r="AB76" s="18"/>
      <c r="AC76" s="18"/>
      <c r="AD76" s="18"/>
      <c r="AE76" s="18"/>
      <c r="AF76" s="18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28:43" x14ac:dyDescent="0.25">
      <c r="AB77" s="18"/>
      <c r="AC77" s="18"/>
      <c r="AD77" s="18"/>
      <c r="AE77" s="18"/>
      <c r="AF77" s="18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28:43" x14ac:dyDescent="0.25">
      <c r="AB78" s="18"/>
      <c r="AC78" s="18"/>
      <c r="AD78" s="18"/>
      <c r="AE78" s="18"/>
      <c r="AF78" s="18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28:43" x14ac:dyDescent="0.25"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28:43" x14ac:dyDescent="0.25"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34:43" x14ac:dyDescent="0.25"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34:43" x14ac:dyDescent="0.25"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34:43" x14ac:dyDescent="0.25"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34:43" x14ac:dyDescent="0.25"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34:43" x14ac:dyDescent="0.25"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34:43" x14ac:dyDescent="0.25"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34:43" x14ac:dyDescent="0.25"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pans="34:43" x14ac:dyDescent="0.25">
      <c r="AH88" s="19"/>
      <c r="AI88" s="19"/>
      <c r="AJ88" s="19"/>
      <c r="AK88" s="19"/>
      <c r="AL88" s="19"/>
      <c r="AM88" s="19"/>
      <c r="AN88" s="19"/>
      <c r="AO88" s="19"/>
      <c r="AP88" s="19"/>
      <c r="AQ88" s="19"/>
    </row>
    <row r="89" spans="34:43" x14ac:dyDescent="0.25"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pans="34:43" x14ac:dyDescent="0.25"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34:43" x14ac:dyDescent="0.25"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pans="34:43" x14ac:dyDescent="0.25">
      <c r="AH92" s="63"/>
      <c r="AI92" s="63"/>
      <c r="AJ92" s="63"/>
      <c r="AK92" s="63"/>
      <c r="AL92" s="63"/>
      <c r="AM92" s="63"/>
      <c r="AN92" s="63"/>
      <c r="AO92" s="63"/>
      <c r="AP92" s="63"/>
      <c r="AQ92" s="63"/>
    </row>
    <row r="93" spans="34:43" x14ac:dyDescent="0.25">
      <c r="AH93" s="19"/>
      <c r="AI93" s="19"/>
      <c r="AJ93" s="19"/>
      <c r="AK93" s="193" t="s">
        <v>77</v>
      </c>
      <c r="AL93" s="194"/>
      <c r="AM93" s="194"/>
      <c r="AN93" s="195"/>
      <c r="AO93" s="19"/>
      <c r="AP93" s="19"/>
      <c r="AQ93" s="19"/>
    </row>
    <row r="94" spans="34:43" x14ac:dyDescent="0.25">
      <c r="AH94" s="19"/>
      <c r="AI94" s="19"/>
      <c r="AJ94" s="19"/>
      <c r="AK94" s="58" t="s">
        <v>1</v>
      </c>
      <c r="AL94" s="58" t="s">
        <v>25</v>
      </c>
      <c r="AM94" s="193" t="s">
        <v>46</v>
      </c>
      <c r="AN94" s="195"/>
      <c r="AO94" s="19"/>
      <c r="AP94" s="19"/>
      <c r="AQ94" s="19"/>
    </row>
    <row r="95" spans="34:43" x14ac:dyDescent="0.25">
      <c r="AH95" s="19"/>
      <c r="AI95" s="19"/>
      <c r="AJ95" s="59" t="str">
        <f>$C$7</f>
        <v>Katalysator</v>
      </c>
      <c r="AK95" s="85">
        <v>-1</v>
      </c>
      <c r="AL95" s="5">
        <v>-1</v>
      </c>
      <c r="AM95" s="62">
        <f>($AG$5+$AG$6)/2</f>
        <v>75</v>
      </c>
      <c r="AN95" s="61"/>
      <c r="AO95" s="19">
        <v>75</v>
      </c>
      <c r="AP95" s="19"/>
      <c r="AQ95" s="19"/>
    </row>
    <row r="96" spans="34:43" ht="18" x14ac:dyDescent="0.25">
      <c r="AH96" s="19"/>
      <c r="AI96" s="19"/>
      <c r="AJ96" s="60" t="s">
        <v>85</v>
      </c>
      <c r="AK96" s="85">
        <v>1</v>
      </c>
      <c r="AL96" s="5">
        <v>-1</v>
      </c>
      <c r="AM96" s="62">
        <f>($AG$7+$AG$8)/2</f>
        <v>69</v>
      </c>
      <c r="AN96" s="61"/>
      <c r="AO96" s="19">
        <v>69</v>
      </c>
      <c r="AP96" s="19"/>
      <c r="AQ96" s="19"/>
    </row>
    <row r="97" spans="34:43" x14ac:dyDescent="0.25">
      <c r="AH97" s="19"/>
      <c r="AI97" s="19"/>
      <c r="AJ97" s="59" t="str">
        <f>$C$7</f>
        <v>Katalysator</v>
      </c>
      <c r="AK97" s="85">
        <v>-1</v>
      </c>
      <c r="AL97" s="5">
        <v>1</v>
      </c>
      <c r="AM97" s="62">
        <f>($AG$9+$AG$10)/2</f>
        <v>76.5</v>
      </c>
      <c r="AN97" s="61"/>
      <c r="AO97" s="19">
        <v>76.5</v>
      </c>
      <c r="AP97" s="19"/>
      <c r="AQ97" s="19"/>
    </row>
    <row r="98" spans="34:43" ht="18" x14ac:dyDescent="0.25">
      <c r="AH98" s="19"/>
      <c r="AI98" s="19"/>
      <c r="AJ98" s="60" t="s">
        <v>87</v>
      </c>
      <c r="AK98" s="85">
        <v>1</v>
      </c>
      <c r="AL98" s="5">
        <v>1</v>
      </c>
      <c r="AM98" s="62">
        <f>($AG$11+$AG$12)/2</f>
        <v>71</v>
      </c>
      <c r="AN98" s="61"/>
      <c r="AO98" s="19">
        <v>71</v>
      </c>
      <c r="AP98" s="19"/>
      <c r="AQ98" s="19"/>
    </row>
    <row r="99" spans="34:43" x14ac:dyDescent="0.25">
      <c r="AH99" s="19"/>
      <c r="AI99" s="19"/>
      <c r="AJ99" s="19"/>
      <c r="AK99" s="19"/>
      <c r="AL99" s="19"/>
      <c r="AM99" s="19"/>
      <c r="AN99" s="19"/>
      <c r="AO99" s="19"/>
      <c r="AP99" s="19"/>
      <c r="AQ99" s="19"/>
    </row>
    <row r="100" spans="34:43" x14ac:dyDescent="0.25"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</row>
    <row r="101" spans="34:43" x14ac:dyDescent="0.25"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</row>
    <row r="102" spans="34:43" x14ac:dyDescent="0.25"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</row>
    <row r="103" spans="34:43" x14ac:dyDescent="0.25"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</row>
    <row r="104" spans="34:43" x14ac:dyDescent="0.25"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</row>
    <row r="105" spans="34:43" x14ac:dyDescent="0.25"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</row>
    <row r="106" spans="34:43" x14ac:dyDescent="0.25"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</row>
    <row r="107" spans="34:43" x14ac:dyDescent="0.25"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</row>
    <row r="108" spans="34:43" x14ac:dyDescent="0.25"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</row>
    <row r="109" spans="34:43" x14ac:dyDescent="0.25"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</row>
    <row r="110" spans="34:43" x14ac:dyDescent="0.25"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</row>
    <row r="111" spans="34:43" x14ac:dyDescent="0.25"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</row>
    <row r="112" spans="34:43" x14ac:dyDescent="0.25"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</row>
    <row r="113" spans="34:43" x14ac:dyDescent="0.25"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</row>
    <row r="114" spans="34:43" x14ac:dyDescent="0.25"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</row>
    <row r="115" spans="34:43" x14ac:dyDescent="0.25"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</row>
    <row r="116" spans="34:43" x14ac:dyDescent="0.25"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</row>
    <row r="117" spans="34:43" x14ac:dyDescent="0.25"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</row>
    <row r="118" spans="34:43" x14ac:dyDescent="0.25"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</row>
    <row r="119" spans="34:43" x14ac:dyDescent="0.25">
      <c r="AH119" s="18"/>
      <c r="AI119" s="18"/>
    </row>
    <row r="120" spans="34:43" x14ac:dyDescent="0.25">
      <c r="AH120" s="18"/>
      <c r="AI120" s="18"/>
    </row>
    <row r="121" spans="34:43" x14ac:dyDescent="0.25">
      <c r="AH121" s="18"/>
      <c r="AI121" s="18"/>
    </row>
    <row r="122" spans="34:43" x14ac:dyDescent="0.25">
      <c r="AH122" s="18"/>
      <c r="AI122" s="18"/>
    </row>
    <row r="123" spans="34:43" x14ac:dyDescent="0.25">
      <c r="AH123" s="18"/>
      <c r="AI123" s="18"/>
    </row>
    <row r="124" spans="34:43" x14ac:dyDescent="0.25">
      <c r="AH124" s="18"/>
      <c r="AI124" s="18"/>
    </row>
    <row r="125" spans="34:43" x14ac:dyDescent="0.25">
      <c r="AH125" s="18"/>
      <c r="AI125" s="18"/>
    </row>
    <row r="126" spans="34:43" x14ac:dyDescent="0.25">
      <c r="AH126" s="18"/>
      <c r="AI126" s="18"/>
    </row>
    <row r="127" spans="34:43" x14ac:dyDescent="0.25">
      <c r="AH127" s="18"/>
      <c r="AI127" s="18"/>
    </row>
    <row r="128" spans="34:43" x14ac:dyDescent="0.25">
      <c r="AH128" s="18"/>
      <c r="AI128" s="18"/>
    </row>
    <row r="129" spans="34:35" x14ac:dyDescent="0.25">
      <c r="AH129" s="18"/>
      <c r="AI129" s="18"/>
    </row>
    <row r="130" spans="34:35" x14ac:dyDescent="0.25">
      <c r="AH130" s="18"/>
      <c r="AI130" s="18"/>
    </row>
    <row r="131" spans="34:35" x14ac:dyDescent="0.25">
      <c r="AH131" s="18"/>
      <c r="AI131" s="18"/>
    </row>
    <row r="132" spans="34:35" x14ac:dyDescent="0.25">
      <c r="AH132" s="18"/>
      <c r="AI132" s="18"/>
    </row>
    <row r="133" spans="34:35" x14ac:dyDescent="0.25">
      <c r="AH133" s="18"/>
      <c r="AI133" s="18"/>
    </row>
    <row r="134" spans="34:35" x14ac:dyDescent="0.25">
      <c r="AH134" s="18"/>
      <c r="AI134" s="18"/>
    </row>
    <row r="135" spans="34:35" x14ac:dyDescent="0.25">
      <c r="AH135" s="18"/>
      <c r="AI135" s="18"/>
    </row>
    <row r="136" spans="34:35" x14ac:dyDescent="0.25">
      <c r="AH136" s="18"/>
      <c r="AI136" s="18"/>
    </row>
    <row r="137" spans="34:35" x14ac:dyDescent="0.25">
      <c r="AH137" s="18"/>
      <c r="AI137" s="18"/>
    </row>
    <row r="138" spans="34:35" x14ac:dyDescent="0.25">
      <c r="AH138" s="18"/>
      <c r="AI138" s="18"/>
    </row>
    <row r="139" spans="34:35" x14ac:dyDescent="0.25">
      <c r="AH139" s="18"/>
      <c r="AI139" s="18"/>
    </row>
  </sheetData>
  <mergeCells count="25">
    <mergeCell ref="AS30:AS31"/>
    <mergeCell ref="AR3:AS3"/>
    <mergeCell ref="AW14:AW15"/>
    <mergeCell ref="AV14:AV15"/>
    <mergeCell ref="AS5:AT5"/>
    <mergeCell ref="AS6:AT6"/>
    <mergeCell ref="AS7:AT7"/>
    <mergeCell ref="AS8:AT8"/>
    <mergeCell ref="AS9:AT9"/>
    <mergeCell ref="AS10:AT10"/>
    <mergeCell ref="AS11:AT11"/>
    <mergeCell ref="AS12:AT12"/>
    <mergeCell ref="F3:G3"/>
    <mergeCell ref="AK93:AN93"/>
    <mergeCell ref="AM94:AN94"/>
    <mergeCell ref="AJ3:AP3"/>
    <mergeCell ref="X3:AE3"/>
    <mergeCell ref="AM67:AN67"/>
    <mergeCell ref="K5:L5"/>
    <mergeCell ref="K6:L6"/>
    <mergeCell ref="AJ15:AP15"/>
    <mergeCell ref="AK41:AN41"/>
    <mergeCell ref="AM42:AN42"/>
    <mergeCell ref="AK66:AN66"/>
    <mergeCell ref="O3:Q3"/>
  </mergeCells>
  <conditionalFormatting sqref="AY6:AZ6 AX6:AX12 AZ7:AZ12">
    <cfRule type="cellIs" dxfId="8" priority="3" operator="equal">
      <formula>"signifikant"</formula>
    </cfRule>
  </conditionalFormatting>
  <conditionalFormatting sqref="AY6:AZ12">
    <cfRule type="cellIs" dxfId="7" priority="1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scale="22" orientation="landscape" verticalDpi="2" r:id="rId1"/>
  <ignoredErrors>
    <ignoredError sqref="AA5:AA6 AA8 BR7 BV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I139"/>
  <sheetViews>
    <sheetView zoomScaleNormal="100" workbookViewId="0"/>
  </sheetViews>
  <sheetFormatPr baseColWidth="10" defaultRowHeight="15" x14ac:dyDescent="0.25"/>
  <cols>
    <col min="1" max="1" width="4" customWidth="1"/>
    <col min="2" max="2" width="5.28515625" customWidth="1"/>
    <col min="3" max="3" width="17.5703125" customWidth="1"/>
    <col min="4" max="4" width="16" customWidth="1"/>
    <col min="5" max="5" width="14.42578125" customWidth="1"/>
    <col min="6" max="7" width="9.140625" customWidth="1"/>
    <col min="8" max="8" width="2.42578125" customWidth="1"/>
    <col min="9" max="9" width="1.7109375" customWidth="1"/>
    <col min="10" max="10" width="2.140625" customWidth="1"/>
    <col min="11" max="11" width="6.7109375" customWidth="1"/>
    <col min="13" max="13" width="6.42578125" customWidth="1"/>
    <col min="14" max="14" width="10.140625" customWidth="1"/>
    <col min="15" max="15" width="5.5703125" customWidth="1"/>
    <col min="16" max="16" width="9.140625" customWidth="1"/>
    <col min="17" max="17" width="4.5703125" customWidth="1"/>
    <col min="18" max="18" width="8.85546875" customWidth="1"/>
    <col min="19" max="19" width="4.42578125" customWidth="1"/>
    <col min="20" max="20" width="9.42578125" customWidth="1"/>
    <col min="21" max="21" width="2.28515625" customWidth="1"/>
    <col min="22" max="22" width="1.7109375" customWidth="1"/>
    <col min="23" max="23" width="2.140625" customWidth="1"/>
    <col min="24" max="24" width="9.140625" customWidth="1"/>
    <col min="25" max="25" width="7.42578125" customWidth="1"/>
    <col min="26" max="31" width="6.7109375" style="18" customWidth="1"/>
    <col min="32" max="32" width="6.28515625" style="18" customWidth="1"/>
    <col min="33" max="33" width="10.28515625" customWidth="1"/>
    <col min="34" max="34" width="2.7109375" customWidth="1"/>
    <col min="35" max="35" width="3.28515625" customWidth="1"/>
    <col min="36" max="42" width="12.7109375" customWidth="1"/>
    <col min="43" max="43" width="5.7109375" customWidth="1"/>
    <col min="44" max="44" width="12.28515625" customWidth="1"/>
    <col min="45" max="45" width="15.7109375" customWidth="1"/>
    <col min="46" max="46" width="5.85546875" customWidth="1"/>
    <col min="47" max="47" width="9.7109375" customWidth="1"/>
    <col min="48" max="48" width="10.28515625" customWidth="1"/>
    <col min="49" max="49" width="11.140625" customWidth="1"/>
    <col min="50" max="50" width="16.85546875" customWidth="1"/>
    <col min="51" max="52" width="5.7109375" customWidth="1"/>
    <col min="53" max="53" width="7.42578125" customWidth="1"/>
    <col min="54" max="54" width="3.85546875" customWidth="1"/>
    <col min="56" max="56" width="9.140625" customWidth="1"/>
    <col min="57" max="57" width="5.28515625" customWidth="1"/>
    <col min="58" max="58" width="3.7109375" customWidth="1"/>
    <col min="59" max="59" width="4.28515625" customWidth="1"/>
    <col min="60" max="60" width="2.5703125" customWidth="1"/>
    <col min="61" max="61" width="4.140625" customWidth="1"/>
    <col min="62" max="62" width="2.42578125" customWidth="1"/>
    <col min="63" max="63" width="4.140625" customWidth="1"/>
    <col min="64" max="64" width="2.28515625" customWidth="1"/>
    <col min="65" max="65" width="4" customWidth="1"/>
    <col min="66" max="66" width="8.7109375" customWidth="1"/>
    <col min="67" max="67" width="3.42578125" customWidth="1"/>
    <col min="68" max="68" width="8.7109375" customWidth="1"/>
    <col min="69" max="69" width="4.28515625" customWidth="1"/>
    <col min="70" max="70" width="8.7109375" customWidth="1"/>
    <col min="71" max="71" width="3.42578125" customWidth="1"/>
    <col min="72" max="72" width="8.7109375" customWidth="1"/>
    <col min="73" max="73" width="3.28515625" customWidth="1"/>
    <col min="74" max="74" width="8.7109375" customWidth="1"/>
    <col min="75" max="75" width="4.7109375" customWidth="1"/>
    <col min="87" max="87" width="4.28515625" customWidth="1"/>
  </cols>
  <sheetData>
    <row r="1" spans="1:87" ht="15.75" x14ac:dyDescent="0.25">
      <c r="A1" s="68"/>
      <c r="B1" s="68"/>
      <c r="C1" s="70" t="s">
        <v>79</v>
      </c>
      <c r="D1" s="68"/>
      <c r="E1" s="68"/>
      <c r="F1" s="68"/>
      <c r="G1" s="68"/>
      <c r="H1" s="68"/>
      <c r="I1" s="68"/>
      <c r="J1" s="68"/>
      <c r="K1" s="70" t="s">
        <v>80</v>
      </c>
      <c r="L1" s="68"/>
      <c r="M1" s="68"/>
      <c r="N1" s="68"/>
      <c r="O1" s="68"/>
      <c r="P1" s="68"/>
      <c r="Q1" s="68"/>
      <c r="R1" s="70"/>
      <c r="S1" s="70"/>
      <c r="T1" s="70"/>
      <c r="U1" s="70"/>
      <c r="V1" s="39"/>
      <c r="W1" s="68"/>
      <c r="X1" s="70" t="s">
        <v>81</v>
      </c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39"/>
      <c r="AJ1" s="70"/>
      <c r="AK1" s="70" t="s">
        <v>82</v>
      </c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19"/>
      <c r="BR1" s="19"/>
      <c r="BS1" s="19"/>
      <c r="BT1" s="19"/>
      <c r="BU1" s="19"/>
      <c r="BV1" s="19"/>
      <c r="BW1" s="19"/>
    </row>
    <row r="2" spans="1:87" x14ac:dyDescent="0.25">
      <c r="A2" s="19"/>
      <c r="B2" s="19"/>
      <c r="C2" s="19"/>
      <c r="D2" s="19"/>
      <c r="E2" s="19"/>
      <c r="F2" s="19"/>
      <c r="G2" s="19"/>
      <c r="H2" s="19"/>
      <c r="I2" s="3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3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</row>
    <row r="3" spans="1:87" ht="18" customHeight="1" x14ac:dyDescent="0.35">
      <c r="A3" s="19"/>
      <c r="B3" s="19"/>
      <c r="C3" s="86" t="s">
        <v>67</v>
      </c>
      <c r="D3" s="178" t="s">
        <v>89</v>
      </c>
      <c r="E3" s="49" t="s">
        <v>88</v>
      </c>
      <c r="F3" s="209" t="s">
        <v>22</v>
      </c>
      <c r="G3" s="210"/>
      <c r="H3" s="19"/>
      <c r="I3" s="67"/>
      <c r="J3" s="19"/>
      <c r="K3" s="82" t="s">
        <v>78</v>
      </c>
      <c r="L3" s="80"/>
      <c r="M3" s="80"/>
      <c r="N3" s="95" t="str">
        <f>D3</f>
        <v>Adhäsionskraft in</v>
      </c>
      <c r="O3" s="80"/>
      <c r="P3" s="80" t="str">
        <f>E3</f>
        <v>kN</v>
      </c>
      <c r="Q3" s="80"/>
      <c r="R3" s="80"/>
      <c r="S3" s="80"/>
      <c r="T3" s="81"/>
      <c r="U3" s="19"/>
      <c r="V3" s="67"/>
      <c r="W3" s="19"/>
      <c r="X3" s="193" t="s">
        <v>16</v>
      </c>
      <c r="Y3" s="194"/>
      <c r="Z3" s="194"/>
      <c r="AA3" s="194"/>
      <c r="AB3" s="194"/>
      <c r="AC3" s="194"/>
      <c r="AD3" s="194"/>
      <c r="AE3" s="195"/>
      <c r="AF3" s="19"/>
      <c r="AG3" s="19"/>
      <c r="AH3" s="19"/>
      <c r="AI3" s="19"/>
      <c r="AJ3" s="193" t="s">
        <v>64</v>
      </c>
      <c r="AK3" s="194"/>
      <c r="AL3" s="194"/>
      <c r="AM3" s="194"/>
      <c r="AN3" s="194"/>
      <c r="AO3" s="194"/>
      <c r="AP3" s="195"/>
      <c r="AQ3" s="19"/>
      <c r="AR3" s="209" t="s">
        <v>18</v>
      </c>
      <c r="AS3" s="198"/>
      <c r="AT3" s="102"/>
      <c r="AU3" s="52" t="s">
        <v>36</v>
      </c>
      <c r="AV3" s="19"/>
      <c r="AW3" s="19"/>
      <c r="AX3" s="19"/>
      <c r="AY3" s="19"/>
      <c r="AZ3" s="19"/>
      <c r="BA3" s="19"/>
      <c r="BB3" s="19"/>
      <c r="BC3" s="7" t="s">
        <v>43</v>
      </c>
      <c r="BD3" s="19"/>
      <c r="BE3" s="19"/>
      <c r="BF3" s="19"/>
      <c r="BG3" s="86" t="s">
        <v>60</v>
      </c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27" t="s">
        <v>45</v>
      </c>
      <c r="BV3" s="11">
        <f>$AU$5</f>
        <v>34.6875</v>
      </c>
      <c r="BW3" s="19"/>
    </row>
    <row r="4" spans="1:87" ht="22.5" customHeight="1" x14ac:dyDescent="0.35">
      <c r="A4" s="19"/>
      <c r="B4" s="19"/>
      <c r="C4" s="7" t="s">
        <v>19</v>
      </c>
      <c r="D4" s="53" t="s">
        <v>21</v>
      </c>
      <c r="E4" s="53" t="s">
        <v>20</v>
      </c>
      <c r="F4" s="7" t="s">
        <v>23</v>
      </c>
      <c r="G4" s="7" t="s">
        <v>24</v>
      </c>
      <c r="H4" s="19"/>
      <c r="I4" s="67"/>
      <c r="J4" s="19"/>
      <c r="K4" s="72"/>
      <c r="L4" s="73"/>
      <c r="M4" s="158"/>
      <c r="N4" s="158" t="str">
        <f>B7</f>
        <v>C</v>
      </c>
      <c r="O4" s="158"/>
      <c r="P4" s="158" t="str">
        <f>C7</f>
        <v>Anpressdauer</v>
      </c>
      <c r="Q4" s="158"/>
      <c r="R4" s="158"/>
      <c r="S4" s="158"/>
      <c r="T4" s="159"/>
      <c r="U4" s="19"/>
      <c r="V4" s="67"/>
      <c r="W4" s="19"/>
      <c r="X4" s="4" t="s">
        <v>15</v>
      </c>
      <c r="Y4" s="4" t="s">
        <v>0</v>
      </c>
      <c r="Z4" s="4" t="s">
        <v>1</v>
      </c>
      <c r="AA4" s="4" t="s">
        <v>2</v>
      </c>
      <c r="AB4" s="4" t="s">
        <v>11</v>
      </c>
      <c r="AC4" s="4" t="s">
        <v>12</v>
      </c>
      <c r="AD4" s="4" t="s">
        <v>13</v>
      </c>
      <c r="AE4" s="4" t="s">
        <v>14</v>
      </c>
      <c r="AF4" s="19"/>
      <c r="AG4" s="2" t="s">
        <v>6</v>
      </c>
      <c r="AH4" s="19"/>
      <c r="AI4" s="19"/>
      <c r="AJ4" s="4" t="s">
        <v>0</v>
      </c>
      <c r="AK4" s="4" t="s">
        <v>1</v>
      </c>
      <c r="AL4" s="4" t="s">
        <v>2</v>
      </c>
      <c r="AM4" s="4" t="s">
        <v>11</v>
      </c>
      <c r="AN4" s="4" t="s">
        <v>12</v>
      </c>
      <c r="AO4" s="4" t="s">
        <v>13</v>
      </c>
      <c r="AP4" s="4" t="s">
        <v>14</v>
      </c>
      <c r="AQ4" s="19"/>
      <c r="AR4" s="86" t="s">
        <v>39</v>
      </c>
      <c r="AS4" s="86" t="str">
        <f>D3</f>
        <v>Adhäsionskraft in</v>
      </c>
      <c r="AT4" s="87" t="str">
        <f>E3</f>
        <v>kN</v>
      </c>
      <c r="AU4" s="53" t="s">
        <v>42</v>
      </c>
      <c r="AV4" s="88" t="s">
        <v>38</v>
      </c>
      <c r="AW4" s="7" t="s">
        <v>40</v>
      </c>
      <c r="AX4" s="153" t="s">
        <v>37</v>
      </c>
      <c r="AY4" s="102"/>
      <c r="AZ4" s="134" t="s">
        <v>127</v>
      </c>
      <c r="BA4" s="19"/>
      <c r="BB4" s="7" t="s">
        <v>0</v>
      </c>
      <c r="BC4" s="9">
        <v>38</v>
      </c>
      <c r="BD4" s="11">
        <f>(BC4-AVERAGE(F5:G5))/(G5-F5)*2</f>
        <v>0.6</v>
      </c>
      <c r="BE4" s="7" t="s">
        <v>61</v>
      </c>
      <c r="BF4" s="19"/>
      <c r="BG4" s="93" t="s">
        <v>47</v>
      </c>
      <c r="BH4" s="76" t="s">
        <v>44</v>
      </c>
      <c r="BI4" s="76" t="s">
        <v>48</v>
      </c>
      <c r="BJ4" s="24"/>
      <c r="BK4" s="24"/>
      <c r="BL4" s="24"/>
      <c r="BM4" s="24"/>
      <c r="BN4" s="24"/>
      <c r="BO4" s="24"/>
      <c r="BP4" s="24"/>
      <c r="BQ4" s="23"/>
      <c r="BR4" s="25">
        <f>$AU$6</f>
        <v>1.2625000000000002</v>
      </c>
      <c r="BS4" s="23" t="s">
        <v>44</v>
      </c>
      <c r="BT4" s="25">
        <f>$BD$4</f>
        <v>0.6</v>
      </c>
      <c r="BU4" s="27" t="s">
        <v>45</v>
      </c>
      <c r="BV4" s="1">
        <f>BR4*BT4*$AY6</f>
        <v>0.75750000000000006</v>
      </c>
      <c r="BW4" s="19"/>
    </row>
    <row r="5" spans="1:87" ht="15" customHeight="1" x14ac:dyDescent="0.35">
      <c r="A5" s="19"/>
      <c r="B5" s="33" t="s">
        <v>0</v>
      </c>
      <c r="C5" s="3" t="s">
        <v>90</v>
      </c>
      <c r="D5" s="3" t="s">
        <v>91</v>
      </c>
      <c r="E5" s="3" t="s">
        <v>28</v>
      </c>
      <c r="F5" s="3">
        <v>30</v>
      </c>
      <c r="G5" s="3">
        <v>40</v>
      </c>
      <c r="H5" s="19"/>
      <c r="I5" s="67"/>
      <c r="J5" s="19"/>
      <c r="K5" s="211" t="str">
        <f>B6</f>
        <v>B</v>
      </c>
      <c r="L5" s="212"/>
      <c r="M5" s="37"/>
      <c r="N5" s="37">
        <f>F7</f>
        <v>1</v>
      </c>
      <c r="O5" s="37"/>
      <c r="P5" s="38" t="s">
        <v>68</v>
      </c>
      <c r="Q5" s="36"/>
      <c r="R5" s="37">
        <f>G7</f>
        <v>24</v>
      </c>
      <c r="S5" s="39"/>
      <c r="T5" s="38" t="s">
        <v>69</v>
      </c>
      <c r="U5" s="19"/>
      <c r="V5" s="67"/>
      <c r="W5" s="19"/>
      <c r="X5" s="83">
        <v>1</v>
      </c>
      <c r="Y5" s="83">
        <f>-1</f>
        <v>-1</v>
      </c>
      <c r="Z5" s="83">
        <f>-1</f>
        <v>-1</v>
      </c>
      <c r="AA5" s="83">
        <f>Y5*Z5</f>
        <v>1</v>
      </c>
      <c r="AB5" s="83">
        <f>-1</f>
        <v>-1</v>
      </c>
      <c r="AC5" s="83">
        <f>PRODUCT(Y5,AB5)</f>
        <v>1</v>
      </c>
      <c r="AD5" s="83">
        <f>PRODUCT(Z5,AB5)</f>
        <v>1</v>
      </c>
      <c r="AE5" s="83">
        <f>PRODUCT(Y5,Z5,AB5)</f>
        <v>-1</v>
      </c>
      <c r="AF5" s="19"/>
      <c r="AG5" s="20">
        <f>$N$8</f>
        <v>30.4</v>
      </c>
      <c r="AH5" s="19"/>
      <c r="AI5" s="19"/>
      <c r="AJ5" s="5">
        <f t="shared" ref="AJ5:AJ12" si="0">$Y5*$AG5</f>
        <v>-30.4</v>
      </c>
      <c r="AK5" s="5">
        <f t="shared" ref="AK5:AK12" si="1">$Z5*$AG5</f>
        <v>-30.4</v>
      </c>
      <c r="AL5" s="5">
        <f t="shared" ref="AL5:AL12" si="2">$AA5*$AG5</f>
        <v>30.4</v>
      </c>
      <c r="AM5" s="5">
        <f t="shared" ref="AM5:AM12" si="3">$AB5*$AG5</f>
        <v>-30.4</v>
      </c>
      <c r="AN5" s="5">
        <f t="shared" ref="AN5:AN12" si="4">$AC5*$AG5</f>
        <v>30.4</v>
      </c>
      <c r="AO5" s="5">
        <f t="shared" ref="AO5:AO12" si="5">$AD5*$AG5</f>
        <v>30.4</v>
      </c>
      <c r="AP5" s="5">
        <f t="shared" ref="AP5:AP12" si="6">$AE5*$AG5</f>
        <v>-30.4</v>
      </c>
      <c r="AQ5" s="19"/>
      <c r="AR5" s="1"/>
      <c r="AS5" s="205"/>
      <c r="AT5" s="206"/>
      <c r="AU5" s="54">
        <f>AG13</f>
        <v>34.6875</v>
      </c>
      <c r="AV5" s="1"/>
      <c r="AW5" s="1"/>
      <c r="AX5" s="5"/>
      <c r="AY5" s="51"/>
      <c r="AZ5" s="51"/>
      <c r="BA5" s="19"/>
      <c r="BB5" s="7" t="s">
        <v>1</v>
      </c>
      <c r="BC5" s="9">
        <v>12</v>
      </c>
      <c r="BD5" s="11">
        <f>(BC5-AVERAGE(F6:G6))/(G6-F6)*2</f>
        <v>-0.6</v>
      </c>
      <c r="BE5" s="7" t="s">
        <v>62</v>
      </c>
      <c r="BF5" s="19"/>
      <c r="BG5" s="90" t="s">
        <v>49</v>
      </c>
      <c r="BH5" s="76" t="s">
        <v>44</v>
      </c>
      <c r="BI5" s="76" t="s">
        <v>56</v>
      </c>
      <c r="BJ5" s="24"/>
      <c r="BK5" s="24"/>
      <c r="BL5" s="24"/>
      <c r="BM5" s="24"/>
      <c r="BN5" s="24"/>
      <c r="BO5" s="24"/>
      <c r="BP5" s="24"/>
      <c r="BQ5" s="23"/>
      <c r="BR5" s="25">
        <f>$AU$7</f>
        <v>0.48749999999999982</v>
      </c>
      <c r="BS5" s="23" t="s">
        <v>44</v>
      </c>
      <c r="BT5" s="25">
        <f>$BD$5</f>
        <v>-0.6</v>
      </c>
      <c r="BU5" s="27" t="s">
        <v>45</v>
      </c>
      <c r="BV5" s="1">
        <f>BR5*BT5*$AY7</f>
        <v>0</v>
      </c>
      <c r="BW5" s="19"/>
    </row>
    <row r="6" spans="1:87" ht="18" customHeight="1" x14ac:dyDescent="0.35">
      <c r="A6" s="19"/>
      <c r="B6" s="33" t="s">
        <v>1</v>
      </c>
      <c r="C6" s="3" t="s">
        <v>92</v>
      </c>
      <c r="D6" s="3" t="s">
        <v>93</v>
      </c>
      <c r="E6" s="3" t="s">
        <v>28</v>
      </c>
      <c r="F6" s="3">
        <v>10</v>
      </c>
      <c r="G6" s="3">
        <v>20</v>
      </c>
      <c r="H6" s="19"/>
      <c r="I6" s="67"/>
      <c r="J6" s="19"/>
      <c r="K6" s="211" t="str">
        <f>C6</f>
        <v>Anpressdruck</v>
      </c>
      <c r="L6" s="212"/>
      <c r="M6" s="34"/>
      <c r="N6" s="76" t="str">
        <f>B5</f>
        <v>A</v>
      </c>
      <c r="O6" s="34"/>
      <c r="P6" s="34" t="str">
        <f>C5</f>
        <v>Beschichtungsdicke</v>
      </c>
      <c r="Q6" s="34"/>
      <c r="R6" s="34"/>
      <c r="S6" s="34"/>
      <c r="T6" s="35"/>
      <c r="U6" s="19"/>
      <c r="V6" s="67"/>
      <c r="W6" s="19"/>
      <c r="X6" s="83">
        <v>1</v>
      </c>
      <c r="Y6" s="83">
        <v>1</v>
      </c>
      <c r="Z6" s="83">
        <f>-1</f>
        <v>-1</v>
      </c>
      <c r="AA6" s="83">
        <f t="shared" ref="AA6:AA11" si="7">PRODUCT(Y6:Z6)</f>
        <v>-1</v>
      </c>
      <c r="AB6" s="83">
        <f>-1</f>
        <v>-1</v>
      </c>
      <c r="AC6" s="83">
        <f t="shared" ref="AC6:AC12" si="8">PRODUCT(Y6,AB6)</f>
        <v>-1</v>
      </c>
      <c r="AD6" s="83">
        <f t="shared" ref="AD6:AD12" si="9">PRODUCT(Z6,AB6)</f>
        <v>1</v>
      </c>
      <c r="AE6" s="83">
        <f t="shared" ref="AE6:AE12" si="10">PRODUCT(Y6,Z6,AB6)</f>
        <v>1</v>
      </c>
      <c r="AF6" s="19"/>
      <c r="AG6" s="20">
        <f>$P$8</f>
        <v>34.1</v>
      </c>
      <c r="AH6" s="19"/>
      <c r="AI6" s="19"/>
      <c r="AJ6" s="5">
        <f t="shared" si="0"/>
        <v>34.1</v>
      </c>
      <c r="AK6" s="5">
        <f t="shared" si="1"/>
        <v>-34.1</v>
      </c>
      <c r="AL6" s="5">
        <f t="shared" si="2"/>
        <v>-34.1</v>
      </c>
      <c r="AM6" s="5">
        <f t="shared" si="3"/>
        <v>-34.1</v>
      </c>
      <c r="AN6" s="5">
        <f t="shared" si="4"/>
        <v>-34.1</v>
      </c>
      <c r="AO6" s="5">
        <f t="shared" si="5"/>
        <v>34.1</v>
      </c>
      <c r="AP6" s="5">
        <f t="shared" si="6"/>
        <v>34.1</v>
      </c>
      <c r="AQ6" s="19"/>
      <c r="AR6" s="5" t="s">
        <v>0</v>
      </c>
      <c r="AS6" s="213">
        <f>AJ13</f>
        <v>2.5250000000000004</v>
      </c>
      <c r="AT6" s="214"/>
      <c r="AU6" s="14">
        <f t="shared" ref="AU6:AU12" si="11">AS6/2</f>
        <v>1.2625000000000002</v>
      </c>
      <c r="AV6" s="13">
        <f t="shared" ref="AV6:AV12" si="12">2*AS6^2</f>
        <v>12.751250000000004</v>
      </c>
      <c r="AW6" s="12">
        <f>AV6/$AW$14</f>
        <v>31.006079027355675</v>
      </c>
      <c r="AX6" s="5" t="str">
        <f>IF($AW6&gt;$AW$18,"signifikant","")</f>
        <v>signifikant</v>
      </c>
      <c r="AY6" s="5">
        <f>IF($AW6&gt;$AW$18,1,0)</f>
        <v>1</v>
      </c>
      <c r="AZ6" s="188">
        <f>FDIST(AW6,1,$AU$15)</f>
        <v>1.1429877213473256E-2</v>
      </c>
      <c r="BA6" s="19"/>
      <c r="BB6" s="7" t="s">
        <v>25</v>
      </c>
      <c r="BC6" s="9">
        <v>20</v>
      </c>
      <c r="BD6" s="11">
        <f>(BC6-AVERAGE(F7:G7))/(G7-F7)*2</f>
        <v>0.65217391304347827</v>
      </c>
      <c r="BE6" s="7" t="s">
        <v>63</v>
      </c>
      <c r="BF6" s="19"/>
      <c r="BG6" s="90" t="s">
        <v>50</v>
      </c>
      <c r="BH6" s="76" t="s">
        <v>44</v>
      </c>
      <c r="BI6" s="76" t="s">
        <v>57</v>
      </c>
      <c r="BJ6" s="91" t="s">
        <v>44</v>
      </c>
      <c r="BK6" s="91" t="s">
        <v>56</v>
      </c>
      <c r="BL6" s="24"/>
      <c r="BM6" s="24"/>
      <c r="BN6" s="24"/>
      <c r="BO6" s="24"/>
      <c r="BP6" s="24">
        <f>$AU$8</f>
        <v>-0.78750000000000053</v>
      </c>
      <c r="BQ6" s="23" t="s">
        <v>44</v>
      </c>
      <c r="BR6" s="25">
        <f>$BD$4</f>
        <v>0.6</v>
      </c>
      <c r="BS6" s="23" t="s">
        <v>44</v>
      </c>
      <c r="BT6" s="25">
        <f>$BD$5</f>
        <v>-0.6</v>
      </c>
      <c r="BU6" s="27" t="s">
        <v>45</v>
      </c>
      <c r="BV6" s="1">
        <f>BP6*BR6*BT6*$AY8</f>
        <v>0.2835000000000002</v>
      </c>
      <c r="BW6" s="19"/>
    </row>
    <row r="7" spans="1:87" ht="18" x14ac:dyDescent="0.35">
      <c r="A7" s="19"/>
      <c r="B7" s="33" t="s">
        <v>25</v>
      </c>
      <c r="C7" s="3" t="s">
        <v>94</v>
      </c>
      <c r="D7" s="3" t="s">
        <v>95</v>
      </c>
      <c r="E7" s="3" t="s">
        <v>28</v>
      </c>
      <c r="F7" s="3">
        <v>1</v>
      </c>
      <c r="G7" s="3">
        <v>24</v>
      </c>
      <c r="H7" s="19"/>
      <c r="I7" s="67"/>
      <c r="J7" s="19"/>
      <c r="K7" s="74"/>
      <c r="L7" s="75"/>
      <c r="M7" s="42">
        <f>F5</f>
        <v>30</v>
      </c>
      <c r="N7" s="40" t="s">
        <v>68</v>
      </c>
      <c r="O7" s="41">
        <f>G5</f>
        <v>40</v>
      </c>
      <c r="P7" s="40" t="s">
        <v>69</v>
      </c>
      <c r="Q7" s="41">
        <f>F5</f>
        <v>30</v>
      </c>
      <c r="R7" s="40" t="s">
        <v>68</v>
      </c>
      <c r="S7" s="36">
        <f>G5</f>
        <v>40</v>
      </c>
      <c r="T7" s="40" t="s">
        <v>69</v>
      </c>
      <c r="U7" s="19"/>
      <c r="V7" s="67"/>
      <c r="W7" s="19"/>
      <c r="X7" s="83">
        <v>1</v>
      </c>
      <c r="Y7" s="83">
        <f>-1</f>
        <v>-1</v>
      </c>
      <c r="Z7" s="83">
        <v>1</v>
      </c>
      <c r="AA7" s="83">
        <f t="shared" si="7"/>
        <v>-1</v>
      </c>
      <c r="AB7" s="83">
        <f>-1</f>
        <v>-1</v>
      </c>
      <c r="AC7" s="83">
        <f t="shared" si="8"/>
        <v>1</v>
      </c>
      <c r="AD7" s="83">
        <f t="shared" si="9"/>
        <v>-1</v>
      </c>
      <c r="AE7" s="83">
        <f t="shared" si="10"/>
        <v>1</v>
      </c>
      <c r="AF7" s="19"/>
      <c r="AG7" s="20">
        <f>$N$9</f>
        <v>32.1</v>
      </c>
      <c r="AH7" s="19"/>
      <c r="AI7" s="19"/>
      <c r="AJ7" s="5">
        <f t="shared" si="0"/>
        <v>-32.1</v>
      </c>
      <c r="AK7" s="5">
        <f t="shared" si="1"/>
        <v>32.1</v>
      </c>
      <c r="AL7" s="5">
        <f t="shared" si="2"/>
        <v>-32.1</v>
      </c>
      <c r="AM7" s="5">
        <f t="shared" si="3"/>
        <v>-32.1</v>
      </c>
      <c r="AN7" s="5">
        <f t="shared" si="4"/>
        <v>32.1</v>
      </c>
      <c r="AO7" s="5">
        <f t="shared" si="5"/>
        <v>-32.1</v>
      </c>
      <c r="AP7" s="5">
        <f t="shared" si="6"/>
        <v>32.1</v>
      </c>
      <c r="AQ7" s="19"/>
      <c r="AR7" s="6" t="s">
        <v>1</v>
      </c>
      <c r="AS7" s="213">
        <f>AK13</f>
        <v>0.97499999999999964</v>
      </c>
      <c r="AT7" s="214"/>
      <c r="AU7" s="14">
        <f t="shared" si="11"/>
        <v>0.48749999999999982</v>
      </c>
      <c r="AV7" s="11">
        <f t="shared" si="12"/>
        <v>1.9012499999999986</v>
      </c>
      <c r="AW7" s="12">
        <f t="shared" ref="AW7:AW12" si="13">AV7/$AW$14</f>
        <v>4.6231003039513707</v>
      </c>
      <c r="AX7" s="154" t="str">
        <f t="shared" ref="AX7:AX12" si="14">IF($AW7&gt;$AW$18,"signifikant","")</f>
        <v/>
      </c>
      <c r="AY7" s="5">
        <f t="shared" ref="AY7:AY12" si="15">IF($AW7&gt;$AW$18,1,0)</f>
        <v>0</v>
      </c>
      <c r="AZ7" s="188">
        <f t="shared" ref="AZ7:AZ12" si="16">FDIST(AW7,1,$AU$15)</f>
        <v>0.12069204765879822</v>
      </c>
      <c r="BA7" s="19"/>
      <c r="BB7" s="19"/>
      <c r="BC7" s="19"/>
      <c r="BD7" s="19"/>
      <c r="BE7" s="19"/>
      <c r="BF7" s="19"/>
      <c r="BG7" s="90" t="s">
        <v>51</v>
      </c>
      <c r="BH7" s="76" t="s">
        <v>44</v>
      </c>
      <c r="BI7" s="76" t="s">
        <v>59</v>
      </c>
      <c r="BJ7" s="24"/>
      <c r="BK7" s="24"/>
      <c r="BL7" s="24"/>
      <c r="BM7" s="24"/>
      <c r="BN7" s="24"/>
      <c r="BO7" s="24"/>
      <c r="BP7" s="24"/>
      <c r="BQ7" s="23"/>
      <c r="BR7" s="25">
        <f>$AU$9</f>
        <v>2.3125</v>
      </c>
      <c r="BS7" s="23" t="s">
        <v>44</v>
      </c>
      <c r="BT7" s="25">
        <f>$BD$6</f>
        <v>0.65217391304347827</v>
      </c>
      <c r="BU7" s="27" t="s">
        <v>45</v>
      </c>
      <c r="BV7" s="1">
        <f>BR7*BT7*$AY9</f>
        <v>1.5081521739130435</v>
      </c>
      <c r="BW7" s="19"/>
    </row>
    <row r="8" spans="1:87" ht="18" x14ac:dyDescent="0.35">
      <c r="A8" s="19"/>
      <c r="B8" s="19"/>
      <c r="C8" s="19"/>
      <c r="D8" s="19"/>
      <c r="E8" s="19"/>
      <c r="F8" s="19"/>
      <c r="G8" s="19"/>
      <c r="H8" s="19"/>
      <c r="I8" s="39"/>
      <c r="J8" s="19"/>
      <c r="K8" s="44">
        <f>F6</f>
        <v>10</v>
      </c>
      <c r="L8" s="43" t="s">
        <v>68</v>
      </c>
      <c r="M8" s="7" t="s">
        <v>17</v>
      </c>
      <c r="N8" s="3">
        <v>30.4</v>
      </c>
      <c r="O8" s="7" t="s">
        <v>3</v>
      </c>
      <c r="P8" s="3">
        <v>34.1</v>
      </c>
      <c r="Q8" s="7" t="s">
        <v>7</v>
      </c>
      <c r="R8" s="3">
        <v>33.9</v>
      </c>
      <c r="S8" s="7" t="s">
        <v>8</v>
      </c>
      <c r="T8" s="3">
        <v>38.4</v>
      </c>
      <c r="U8" s="19"/>
      <c r="V8" s="39"/>
      <c r="W8" s="19"/>
      <c r="X8" s="83">
        <v>1</v>
      </c>
      <c r="Y8" s="83">
        <v>1</v>
      </c>
      <c r="Z8" s="83">
        <v>1</v>
      </c>
      <c r="AA8" s="83">
        <f>PRODUCT(X8:Z8)</f>
        <v>1</v>
      </c>
      <c r="AB8" s="84">
        <f>-1</f>
        <v>-1</v>
      </c>
      <c r="AC8" s="83">
        <f t="shared" si="8"/>
        <v>-1</v>
      </c>
      <c r="AD8" s="83">
        <f t="shared" si="9"/>
        <v>-1</v>
      </c>
      <c r="AE8" s="83">
        <f t="shared" si="10"/>
        <v>-1</v>
      </c>
      <c r="AF8" s="19"/>
      <c r="AG8" s="20">
        <f>$P$9</f>
        <v>32.9</v>
      </c>
      <c r="AH8" s="19"/>
      <c r="AI8" s="19"/>
      <c r="AJ8" s="5">
        <f t="shared" si="0"/>
        <v>32.9</v>
      </c>
      <c r="AK8" s="5">
        <f t="shared" si="1"/>
        <v>32.9</v>
      </c>
      <c r="AL8" s="5">
        <f t="shared" si="2"/>
        <v>32.9</v>
      </c>
      <c r="AM8" s="5">
        <f t="shared" si="3"/>
        <v>-32.9</v>
      </c>
      <c r="AN8" s="5">
        <f t="shared" si="4"/>
        <v>-32.9</v>
      </c>
      <c r="AO8" s="5">
        <f t="shared" si="5"/>
        <v>-32.9</v>
      </c>
      <c r="AP8" s="5">
        <f t="shared" si="6"/>
        <v>-32.9</v>
      </c>
      <c r="AQ8" s="19"/>
      <c r="AR8" s="6" t="s">
        <v>2</v>
      </c>
      <c r="AS8" s="213">
        <f>AL13</f>
        <v>-1.5750000000000011</v>
      </c>
      <c r="AT8" s="214"/>
      <c r="AU8" s="14">
        <f t="shared" si="11"/>
        <v>-0.78750000000000053</v>
      </c>
      <c r="AV8" s="11">
        <f t="shared" si="12"/>
        <v>4.9612500000000068</v>
      </c>
      <c r="AW8" s="12">
        <f t="shared" si="13"/>
        <v>12.063829787234075</v>
      </c>
      <c r="AX8" s="154" t="str">
        <f t="shared" si="14"/>
        <v>signifikant</v>
      </c>
      <c r="AY8" s="5">
        <f t="shared" si="15"/>
        <v>1</v>
      </c>
      <c r="AZ8" s="188">
        <f t="shared" si="16"/>
        <v>4.0249929472021967E-2</v>
      </c>
      <c r="BA8" s="19"/>
      <c r="BB8" s="19"/>
      <c r="BC8" s="55" t="s">
        <v>41</v>
      </c>
      <c r="BD8" s="56">
        <f>AVERAGE(AG5:AG12)+AU6*BD4*AY6+AU7*BD5*AY7+AU8*BD4*BD5*AY8+AU9*BD6*AY9+AU10*BD4*BD6*AY10+AU11*BD5*BD6*AY11+AU12*BD4*BD5*BD6*AY12</f>
        <v>37.23665217391305</v>
      </c>
      <c r="BE8" s="19"/>
      <c r="BF8" s="19"/>
      <c r="BG8" s="90" t="s">
        <v>52</v>
      </c>
      <c r="BH8" s="76" t="s">
        <v>44</v>
      </c>
      <c r="BI8" s="76" t="s">
        <v>57</v>
      </c>
      <c r="BJ8" s="91" t="s">
        <v>44</v>
      </c>
      <c r="BK8" s="91" t="s">
        <v>59</v>
      </c>
      <c r="BL8" s="24"/>
      <c r="BM8" s="24"/>
      <c r="BN8" s="24"/>
      <c r="BO8" s="24"/>
      <c r="BP8" s="24">
        <f>$AU$10</f>
        <v>0.13750000000000018</v>
      </c>
      <c r="BQ8" s="23" t="s">
        <v>44</v>
      </c>
      <c r="BR8" s="25">
        <f>$BD$4</f>
        <v>0.6</v>
      </c>
      <c r="BS8" s="23" t="s">
        <v>44</v>
      </c>
      <c r="BT8" s="25">
        <f>$BD$6</f>
        <v>0.65217391304347827</v>
      </c>
      <c r="BU8" s="27" t="s">
        <v>45</v>
      </c>
      <c r="BV8" s="1">
        <f>BP8*BR8*BT8*$AY10</f>
        <v>0</v>
      </c>
      <c r="BW8" s="19"/>
    </row>
    <row r="9" spans="1:87" ht="18" x14ac:dyDescent="0.35">
      <c r="A9" s="19"/>
      <c r="B9" s="19"/>
      <c r="C9" s="19"/>
      <c r="D9" s="19"/>
      <c r="E9" s="19"/>
      <c r="F9" s="19"/>
      <c r="G9" s="19"/>
      <c r="H9" s="19"/>
      <c r="I9" s="39"/>
      <c r="J9" s="19"/>
      <c r="K9" s="44">
        <f>G6</f>
        <v>20</v>
      </c>
      <c r="L9" s="43" t="s">
        <v>69</v>
      </c>
      <c r="M9" s="7" t="s">
        <v>4</v>
      </c>
      <c r="N9" s="3">
        <v>32.1</v>
      </c>
      <c r="O9" s="7" t="s">
        <v>5</v>
      </c>
      <c r="P9" s="3">
        <v>32.9</v>
      </c>
      <c r="Q9" s="7" t="s">
        <v>9</v>
      </c>
      <c r="R9" s="3">
        <v>37.299999999999997</v>
      </c>
      <c r="S9" s="7" t="s">
        <v>10</v>
      </c>
      <c r="T9" s="3">
        <v>38.4</v>
      </c>
      <c r="U9" s="19"/>
      <c r="V9" s="39"/>
      <c r="W9" s="19"/>
      <c r="X9" s="83">
        <v>1</v>
      </c>
      <c r="Y9" s="83">
        <f>-1</f>
        <v>-1</v>
      </c>
      <c r="Z9" s="83">
        <f>-1</f>
        <v>-1</v>
      </c>
      <c r="AA9" s="83">
        <f t="shared" si="7"/>
        <v>1</v>
      </c>
      <c r="AB9" s="84">
        <v>1</v>
      </c>
      <c r="AC9" s="83">
        <f t="shared" si="8"/>
        <v>-1</v>
      </c>
      <c r="AD9" s="83">
        <f t="shared" si="9"/>
        <v>-1</v>
      </c>
      <c r="AE9" s="83">
        <f t="shared" si="10"/>
        <v>1</v>
      </c>
      <c r="AF9" s="19"/>
      <c r="AG9" s="20">
        <f>R8</f>
        <v>33.9</v>
      </c>
      <c r="AH9" s="19"/>
      <c r="AI9" s="19"/>
      <c r="AJ9" s="5">
        <f t="shared" si="0"/>
        <v>-33.9</v>
      </c>
      <c r="AK9" s="5">
        <f t="shared" si="1"/>
        <v>-33.9</v>
      </c>
      <c r="AL9" s="5">
        <f t="shared" si="2"/>
        <v>33.9</v>
      </c>
      <c r="AM9" s="5">
        <f t="shared" si="3"/>
        <v>33.9</v>
      </c>
      <c r="AN9" s="5">
        <f t="shared" si="4"/>
        <v>-33.9</v>
      </c>
      <c r="AO9" s="5">
        <f t="shared" si="5"/>
        <v>-33.9</v>
      </c>
      <c r="AP9" s="5">
        <f t="shared" si="6"/>
        <v>33.9</v>
      </c>
      <c r="AQ9" s="19"/>
      <c r="AR9" s="6" t="s">
        <v>11</v>
      </c>
      <c r="AS9" s="213">
        <f>AM13</f>
        <v>4.625</v>
      </c>
      <c r="AT9" s="214"/>
      <c r="AU9" s="14">
        <f t="shared" si="11"/>
        <v>2.3125</v>
      </c>
      <c r="AV9" s="11">
        <f t="shared" si="12"/>
        <v>42.78125</v>
      </c>
      <c r="AW9" s="12">
        <f t="shared" si="13"/>
        <v>104.02735562310045</v>
      </c>
      <c r="AX9" s="154" t="str">
        <f t="shared" si="14"/>
        <v>signifikant</v>
      </c>
      <c r="AY9" s="5">
        <f t="shared" si="15"/>
        <v>1</v>
      </c>
      <c r="AZ9" s="188">
        <f t="shared" si="16"/>
        <v>2.0087259077014954E-3</v>
      </c>
      <c r="BA9" s="19"/>
      <c r="BB9" s="19"/>
      <c r="BC9" s="19"/>
      <c r="BD9" s="19"/>
      <c r="BE9" s="19"/>
      <c r="BF9" s="19"/>
      <c r="BG9" s="90" t="s">
        <v>53</v>
      </c>
      <c r="BH9" s="76" t="s">
        <v>44</v>
      </c>
      <c r="BI9" s="76" t="s">
        <v>55</v>
      </c>
      <c r="BJ9" s="91" t="s">
        <v>44</v>
      </c>
      <c r="BK9" s="91" t="s">
        <v>58</v>
      </c>
      <c r="BL9" s="24"/>
      <c r="BM9" s="24"/>
      <c r="BN9" s="24"/>
      <c r="BO9" s="24"/>
      <c r="BP9" s="24">
        <f>$AU$11</f>
        <v>0.36249999999999982</v>
      </c>
      <c r="BQ9" s="23" t="s">
        <v>44</v>
      </c>
      <c r="BR9" s="25">
        <f>$BD$5</f>
        <v>-0.6</v>
      </c>
      <c r="BS9" s="23" t="s">
        <v>44</v>
      </c>
      <c r="BT9" s="25">
        <f>$BD$6</f>
        <v>0.65217391304347827</v>
      </c>
      <c r="BU9" s="27" t="s">
        <v>45</v>
      </c>
      <c r="BV9" s="1">
        <f>BP9*BR9*BT9*$AY11</f>
        <v>0</v>
      </c>
      <c r="BW9" s="19"/>
    </row>
    <row r="10" spans="1:87" ht="18" x14ac:dyDescent="0.35">
      <c r="A10" s="19"/>
      <c r="B10" s="19"/>
      <c r="C10" s="19"/>
      <c r="D10" s="19"/>
      <c r="E10" s="19"/>
      <c r="F10" s="19"/>
      <c r="G10" s="19"/>
      <c r="H10" s="19"/>
      <c r="I10" s="3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9"/>
      <c r="W10" s="19"/>
      <c r="X10" s="83">
        <v>1</v>
      </c>
      <c r="Y10" s="83">
        <v>1</v>
      </c>
      <c r="Z10" s="83">
        <f>-1</f>
        <v>-1</v>
      </c>
      <c r="AA10" s="83">
        <f t="shared" si="7"/>
        <v>-1</v>
      </c>
      <c r="AB10" s="84">
        <v>1</v>
      </c>
      <c r="AC10" s="83">
        <f t="shared" si="8"/>
        <v>1</v>
      </c>
      <c r="AD10" s="83">
        <f t="shared" si="9"/>
        <v>-1</v>
      </c>
      <c r="AE10" s="83">
        <f t="shared" si="10"/>
        <v>-1</v>
      </c>
      <c r="AF10" s="19"/>
      <c r="AG10" s="20">
        <f>T8</f>
        <v>38.4</v>
      </c>
      <c r="AH10" s="19"/>
      <c r="AI10" s="19"/>
      <c r="AJ10" s="5">
        <f t="shared" si="0"/>
        <v>38.4</v>
      </c>
      <c r="AK10" s="5">
        <f t="shared" si="1"/>
        <v>-38.4</v>
      </c>
      <c r="AL10" s="5">
        <f t="shared" si="2"/>
        <v>-38.4</v>
      </c>
      <c r="AM10" s="5">
        <f t="shared" si="3"/>
        <v>38.4</v>
      </c>
      <c r="AN10" s="5">
        <f t="shared" si="4"/>
        <v>38.4</v>
      </c>
      <c r="AO10" s="5">
        <f t="shared" si="5"/>
        <v>-38.4</v>
      </c>
      <c r="AP10" s="5">
        <f t="shared" si="6"/>
        <v>-38.4</v>
      </c>
      <c r="AQ10" s="19"/>
      <c r="AR10" s="6" t="s">
        <v>12</v>
      </c>
      <c r="AS10" s="213">
        <f>AN13</f>
        <v>0.27500000000000036</v>
      </c>
      <c r="AT10" s="214"/>
      <c r="AU10" s="14">
        <f t="shared" si="11"/>
        <v>0.13750000000000018</v>
      </c>
      <c r="AV10" s="11">
        <f t="shared" si="12"/>
        <v>0.15125000000000038</v>
      </c>
      <c r="AW10" s="12">
        <f t="shared" si="13"/>
        <v>0.36778115501519898</v>
      </c>
      <c r="AX10" s="154" t="str">
        <f t="shared" si="14"/>
        <v/>
      </c>
      <c r="AY10" s="5">
        <f t="shared" si="15"/>
        <v>0</v>
      </c>
      <c r="AZ10" s="188">
        <f t="shared" si="16"/>
        <v>0.58703030364403941</v>
      </c>
      <c r="BA10" s="19"/>
      <c r="BB10" s="19"/>
      <c r="BC10" s="19"/>
      <c r="BD10" s="19"/>
      <c r="BE10" s="19"/>
      <c r="BF10" s="19"/>
      <c r="BG10" s="86" t="s">
        <v>54</v>
      </c>
      <c r="BH10" s="87" t="s">
        <v>44</v>
      </c>
      <c r="BI10" s="87" t="s">
        <v>57</v>
      </c>
      <c r="BJ10" s="92" t="s">
        <v>44</v>
      </c>
      <c r="BK10" s="92" t="s">
        <v>55</v>
      </c>
      <c r="BL10" s="92" t="s">
        <v>44</v>
      </c>
      <c r="BM10" s="92" t="s">
        <v>58</v>
      </c>
      <c r="BN10" s="30">
        <f>$AU$12</f>
        <v>-6.2499999999999112E-2</v>
      </c>
      <c r="BO10" s="30" t="s">
        <v>44</v>
      </c>
      <c r="BP10" s="30">
        <f>$BD$4</f>
        <v>0.6</v>
      </c>
      <c r="BQ10" s="29" t="s">
        <v>44</v>
      </c>
      <c r="BR10" s="31">
        <f>$BD$5</f>
        <v>-0.6</v>
      </c>
      <c r="BS10" s="29" t="s">
        <v>44</v>
      </c>
      <c r="BT10" s="25">
        <f>$BD$6</f>
        <v>0.65217391304347827</v>
      </c>
      <c r="BU10" s="27" t="s">
        <v>45</v>
      </c>
      <c r="BV10" s="32">
        <f>BN10*BP10*BR10*BT10*$AY12</f>
        <v>0</v>
      </c>
      <c r="BW10" s="19"/>
    </row>
    <row r="11" spans="1:87" x14ac:dyDescent="0.25">
      <c r="A11" s="19"/>
      <c r="B11" s="19"/>
      <c r="C11" s="19"/>
      <c r="D11" s="19"/>
      <c r="E11" s="19"/>
      <c r="F11" s="19"/>
      <c r="G11" s="19"/>
      <c r="H11" s="19"/>
      <c r="I11" s="3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9"/>
      <c r="W11" s="19"/>
      <c r="X11" s="83">
        <v>1</v>
      </c>
      <c r="Y11" s="83">
        <f>-1</f>
        <v>-1</v>
      </c>
      <c r="Z11" s="83">
        <v>1</v>
      </c>
      <c r="AA11" s="83">
        <f t="shared" si="7"/>
        <v>-1</v>
      </c>
      <c r="AB11" s="84">
        <v>1</v>
      </c>
      <c r="AC11" s="83">
        <f t="shared" si="8"/>
        <v>-1</v>
      </c>
      <c r="AD11" s="83">
        <f t="shared" si="9"/>
        <v>1</v>
      </c>
      <c r="AE11" s="83">
        <f t="shared" si="10"/>
        <v>-1</v>
      </c>
      <c r="AF11" s="19"/>
      <c r="AG11" s="20">
        <f>$R$9</f>
        <v>37.299999999999997</v>
      </c>
      <c r="AH11" s="19"/>
      <c r="AI11" s="19"/>
      <c r="AJ11" s="5">
        <f t="shared" si="0"/>
        <v>-37.299999999999997</v>
      </c>
      <c r="AK11" s="5">
        <f t="shared" si="1"/>
        <v>37.299999999999997</v>
      </c>
      <c r="AL11" s="5">
        <f t="shared" si="2"/>
        <v>-37.299999999999997</v>
      </c>
      <c r="AM11" s="5">
        <f t="shared" si="3"/>
        <v>37.299999999999997</v>
      </c>
      <c r="AN11" s="5">
        <f t="shared" si="4"/>
        <v>-37.299999999999997</v>
      </c>
      <c r="AO11" s="5">
        <f t="shared" si="5"/>
        <v>37.299999999999997</v>
      </c>
      <c r="AP11" s="5">
        <f t="shared" si="6"/>
        <v>-37.299999999999997</v>
      </c>
      <c r="AQ11" s="19"/>
      <c r="AR11" s="6" t="s">
        <v>13</v>
      </c>
      <c r="AS11" s="213">
        <f>AO13</f>
        <v>0.72499999999999964</v>
      </c>
      <c r="AT11" s="214"/>
      <c r="AU11" s="14">
        <f t="shared" si="11"/>
        <v>0.36249999999999982</v>
      </c>
      <c r="AV11" s="11">
        <f t="shared" si="12"/>
        <v>1.0512499999999989</v>
      </c>
      <c r="AW11" s="12">
        <f t="shared" si="13"/>
        <v>2.5562310030395143</v>
      </c>
      <c r="AX11" s="154" t="str">
        <f t="shared" si="14"/>
        <v/>
      </c>
      <c r="AY11" s="5">
        <f t="shared" si="15"/>
        <v>0</v>
      </c>
      <c r="AZ11" s="188">
        <f t="shared" si="16"/>
        <v>0.20815709563324397</v>
      </c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28" t="s">
        <v>46</v>
      </c>
      <c r="BU11" s="57" t="s">
        <v>45</v>
      </c>
      <c r="BV11" s="94">
        <f>SUM(BV3:BV10)</f>
        <v>37.23665217391305</v>
      </c>
      <c r="BW11" s="19"/>
    </row>
    <row r="12" spans="1:87" x14ac:dyDescent="0.25">
      <c r="A12" s="19"/>
      <c r="B12" s="19"/>
      <c r="C12" s="19"/>
      <c r="D12" s="19"/>
      <c r="E12" s="19"/>
      <c r="F12" s="19"/>
      <c r="G12" s="19"/>
      <c r="H12" s="19"/>
      <c r="I12" s="3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9"/>
      <c r="W12" s="19"/>
      <c r="X12" s="83">
        <v>1</v>
      </c>
      <c r="Y12" s="83">
        <v>1</v>
      </c>
      <c r="Z12" s="83">
        <v>1</v>
      </c>
      <c r="AA12" s="83">
        <f>PRODUCT(X12:Z12)</f>
        <v>1</v>
      </c>
      <c r="AB12" s="84">
        <v>1</v>
      </c>
      <c r="AC12" s="83">
        <f t="shared" si="8"/>
        <v>1</v>
      </c>
      <c r="AD12" s="83">
        <f t="shared" si="9"/>
        <v>1</v>
      </c>
      <c r="AE12" s="83">
        <f t="shared" si="10"/>
        <v>1</v>
      </c>
      <c r="AF12" s="19"/>
      <c r="AG12" s="20">
        <f>$T$9</f>
        <v>38.4</v>
      </c>
      <c r="AH12" s="19"/>
      <c r="AI12" s="19"/>
      <c r="AJ12" s="5">
        <f t="shared" si="0"/>
        <v>38.4</v>
      </c>
      <c r="AK12" s="5">
        <f t="shared" si="1"/>
        <v>38.4</v>
      </c>
      <c r="AL12" s="5">
        <f t="shared" si="2"/>
        <v>38.4</v>
      </c>
      <c r="AM12" s="5">
        <f t="shared" si="3"/>
        <v>38.4</v>
      </c>
      <c r="AN12" s="5">
        <f t="shared" si="4"/>
        <v>38.4</v>
      </c>
      <c r="AO12" s="5">
        <f t="shared" si="5"/>
        <v>38.4</v>
      </c>
      <c r="AP12" s="5">
        <f t="shared" si="6"/>
        <v>38.4</v>
      </c>
      <c r="AQ12" s="19"/>
      <c r="AR12" s="6" t="s">
        <v>14</v>
      </c>
      <c r="AS12" s="213">
        <f>AP13</f>
        <v>-0.12499999999999822</v>
      </c>
      <c r="AT12" s="214"/>
      <c r="AU12" s="14">
        <f t="shared" si="11"/>
        <v>-6.2499999999999112E-2</v>
      </c>
      <c r="AV12" s="11">
        <f t="shared" si="12"/>
        <v>3.1249999999999112E-2</v>
      </c>
      <c r="AW12" s="12">
        <f t="shared" si="13"/>
        <v>7.5987841945286697E-2</v>
      </c>
      <c r="AX12" s="154" t="str">
        <f t="shared" si="14"/>
        <v/>
      </c>
      <c r="AY12" s="5">
        <f t="shared" si="15"/>
        <v>0</v>
      </c>
      <c r="AZ12" s="188">
        <f t="shared" si="16"/>
        <v>0.80070731435594633</v>
      </c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CC12" s="22"/>
      <c r="CI12" s="22"/>
    </row>
    <row r="13" spans="1:87" ht="15" customHeight="1" x14ac:dyDescent="0.25">
      <c r="A13" s="19"/>
      <c r="B13" s="19"/>
      <c r="C13" s="19"/>
      <c r="D13" s="19"/>
      <c r="E13" s="19"/>
      <c r="F13" s="19"/>
      <c r="G13" s="19"/>
      <c r="H13" s="19"/>
      <c r="I13" s="3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4">
        <f>AVERAGE(AG5:AG12)</f>
        <v>34.6875</v>
      </c>
      <c r="AH13" s="19"/>
      <c r="AI13" s="19"/>
      <c r="AJ13" s="4">
        <f>SUM(AJ5:AJ12)/4</f>
        <v>2.5250000000000004</v>
      </c>
      <c r="AK13" s="4">
        <f t="shared" ref="AK13:AP13" si="17">SUM(AK5:AK12)/4</f>
        <v>0.97499999999999964</v>
      </c>
      <c r="AL13" s="4">
        <f t="shared" si="17"/>
        <v>-1.5750000000000011</v>
      </c>
      <c r="AM13" s="4">
        <f t="shared" si="17"/>
        <v>4.625</v>
      </c>
      <c r="AN13" s="4">
        <f t="shared" si="17"/>
        <v>0.27500000000000036</v>
      </c>
      <c r="AO13" s="4">
        <f t="shared" si="17"/>
        <v>0.72499999999999964</v>
      </c>
      <c r="AP13" s="4">
        <f t="shared" si="17"/>
        <v>-0.12499999999999822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</row>
    <row r="14" spans="1:87" ht="14.25" customHeight="1" x14ac:dyDescent="0.35">
      <c r="A14" s="19"/>
      <c r="B14" s="19"/>
      <c r="C14" s="19"/>
      <c r="D14" s="19"/>
      <c r="E14" s="19"/>
      <c r="F14" s="19"/>
      <c r="G14" s="19"/>
      <c r="H14" s="19"/>
      <c r="I14" s="3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48" t="s">
        <v>70</v>
      </c>
      <c r="AU14" s="50">
        <f>SUM(AV10:AV12)</f>
        <v>1.2337499999999983</v>
      </c>
      <c r="AV14" s="203" t="s">
        <v>74</v>
      </c>
      <c r="AW14" s="201">
        <f>AU14/AU15</f>
        <v>0.41124999999999945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87" ht="15" customHeight="1" x14ac:dyDescent="0.35">
      <c r="AH15" s="19"/>
      <c r="AI15" s="19"/>
      <c r="AJ15" s="193" t="s">
        <v>101</v>
      </c>
      <c r="AK15" s="194"/>
      <c r="AL15" s="194"/>
      <c r="AM15" s="194"/>
      <c r="AN15" s="194"/>
      <c r="AO15" s="194"/>
      <c r="AP15" s="195"/>
      <c r="AQ15" s="19"/>
      <c r="AR15" s="19"/>
      <c r="AS15" s="19"/>
      <c r="AT15" s="48" t="s">
        <v>71</v>
      </c>
      <c r="AU15" s="49">
        <v>3</v>
      </c>
      <c r="AV15" s="204"/>
      <c r="AW15" s="202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1:87" x14ac:dyDescent="0.25">
      <c r="AH16" s="19"/>
      <c r="AI16" s="19"/>
      <c r="AJ16" s="4" t="str">
        <f t="shared" ref="AJ16:AP16" si="18">AJ4</f>
        <v>A</v>
      </c>
      <c r="AK16" s="4" t="str">
        <f t="shared" si="18"/>
        <v>B</v>
      </c>
      <c r="AL16" s="5" t="str">
        <f t="shared" si="18"/>
        <v>AB</v>
      </c>
      <c r="AM16" s="4" t="str">
        <f t="shared" si="18"/>
        <v xml:space="preserve">C </v>
      </c>
      <c r="AN16" s="5" t="str">
        <f t="shared" si="18"/>
        <v>AC</v>
      </c>
      <c r="AO16" s="5" t="str">
        <f t="shared" si="18"/>
        <v>BC</v>
      </c>
      <c r="AP16" s="5" t="str">
        <f t="shared" si="18"/>
        <v>ABC</v>
      </c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</row>
    <row r="17" spans="24:75" x14ac:dyDescent="0.25">
      <c r="AH17" s="19"/>
      <c r="AI17" s="19"/>
      <c r="AJ17" s="4" t="str">
        <f>C5</f>
        <v>Beschichtungsdicke</v>
      </c>
      <c r="AK17" s="4" t="str">
        <f>C6</f>
        <v>Anpressdruck</v>
      </c>
      <c r="AL17" s="5"/>
      <c r="AM17" s="4" t="str">
        <f>C7</f>
        <v>Anpressdauer</v>
      </c>
      <c r="AN17" s="5"/>
      <c r="AO17" s="5"/>
      <c r="AP17" s="5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</row>
    <row r="18" spans="24:75" ht="18" x14ac:dyDescent="0.35">
      <c r="AH18" s="19"/>
      <c r="AI18" s="2">
        <v>-1</v>
      </c>
      <c r="AJ18" s="64">
        <f>ABS(SUMIF(AJ5:AJ12,"&lt;0"))/COUNT(AJ$5:AJ$12)*2</f>
        <v>33.424999999999997</v>
      </c>
      <c r="AK18" s="64">
        <f t="shared" ref="AK18:AP18" si="19">ABS(SUMIF(AK5:AK12,"&lt;0"))/COUNT(AK$5:AK$12)*2</f>
        <v>34.200000000000003</v>
      </c>
      <c r="AL18" s="64">
        <f t="shared" si="19"/>
        <v>35.474999999999994</v>
      </c>
      <c r="AM18" s="64">
        <f t="shared" si="19"/>
        <v>32.375</v>
      </c>
      <c r="AN18" s="64">
        <f t="shared" si="19"/>
        <v>34.549999999999997</v>
      </c>
      <c r="AO18" s="64">
        <f t="shared" si="19"/>
        <v>34.325000000000003</v>
      </c>
      <c r="AP18" s="64">
        <f t="shared" si="19"/>
        <v>34.75</v>
      </c>
      <c r="AQ18" s="19"/>
      <c r="AR18" s="19"/>
      <c r="AS18" s="19"/>
      <c r="AT18" s="46" t="s">
        <v>72</v>
      </c>
      <c r="AU18" s="47">
        <v>0.05</v>
      </c>
      <c r="AV18" s="48" t="s">
        <v>73</v>
      </c>
      <c r="AW18" s="45">
        <f>FINV(AU18,1,$AU$15)</f>
        <v>10.127964486013932</v>
      </c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24:75" ht="18" x14ac:dyDescent="0.35">
      <c r="AA19"/>
      <c r="AE19"/>
      <c r="AH19" s="19"/>
      <c r="AI19" s="2">
        <v>1</v>
      </c>
      <c r="AJ19" s="64">
        <f>SUMIF(AJ5:AJ12,"&gt;0")/COUNT(AJ$5:AJ$12)*2</f>
        <v>35.950000000000003</v>
      </c>
      <c r="AK19" s="64">
        <f t="shared" ref="AK19:AP19" si="20">SUMIF(AK5:AK12,"&gt;0")/COUNT(AK$5:AK$12)*2</f>
        <v>35.174999999999997</v>
      </c>
      <c r="AL19" s="64">
        <f t="shared" si="20"/>
        <v>33.9</v>
      </c>
      <c r="AM19" s="64">
        <f t="shared" si="20"/>
        <v>37</v>
      </c>
      <c r="AN19" s="64">
        <f t="shared" si="20"/>
        <v>34.825000000000003</v>
      </c>
      <c r="AO19" s="64">
        <f t="shared" si="20"/>
        <v>35.049999999999997</v>
      </c>
      <c r="AP19" s="64">
        <f t="shared" si="20"/>
        <v>34.625</v>
      </c>
      <c r="AQ19" s="19"/>
      <c r="AR19" s="19"/>
      <c r="AS19" s="19"/>
      <c r="AT19" s="46" t="s">
        <v>72</v>
      </c>
      <c r="AU19" s="47">
        <v>0.01</v>
      </c>
      <c r="AV19" s="48" t="s">
        <v>73</v>
      </c>
      <c r="AW19" s="45">
        <f>FINV(AU19,1,$AU$15)</f>
        <v>34.116221564529795</v>
      </c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</row>
    <row r="20" spans="24:75" x14ac:dyDescent="0.25"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</row>
    <row r="21" spans="24:75" x14ac:dyDescent="0.25"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29" t="s">
        <v>117</v>
      </c>
      <c r="AT21" s="130"/>
      <c r="AU21" s="131"/>
      <c r="AV21" s="19"/>
      <c r="AW21" s="19"/>
      <c r="AX21" s="19"/>
      <c r="AY21" s="19"/>
      <c r="AZ21" s="19"/>
      <c r="BA21" s="19"/>
    </row>
    <row r="22" spans="24:75" x14ac:dyDescent="0.25"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" t="str">
        <f t="shared" ref="AS22:AS28" si="21">AR6</f>
        <v>A</v>
      </c>
      <c r="AT22" s="1">
        <v>0</v>
      </c>
      <c r="AU22" s="15">
        <f t="shared" ref="AU22:AU28" si="22">AW6</f>
        <v>31.006079027355675</v>
      </c>
      <c r="AV22" s="19"/>
      <c r="AW22" s="19"/>
      <c r="AX22" s="19"/>
      <c r="AY22" s="19"/>
      <c r="AZ22" s="19"/>
      <c r="BA22" s="19"/>
    </row>
    <row r="23" spans="24:75" x14ac:dyDescent="0.25"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" t="str">
        <f t="shared" si="21"/>
        <v>B</v>
      </c>
      <c r="AT23" s="1">
        <v>0</v>
      </c>
      <c r="AU23" s="15">
        <f t="shared" si="22"/>
        <v>4.6231003039513707</v>
      </c>
      <c r="AV23" s="19"/>
      <c r="AW23" s="19"/>
      <c r="AX23" s="19"/>
      <c r="AY23" s="19"/>
      <c r="AZ23" s="19"/>
      <c r="BA23" s="19"/>
    </row>
    <row r="24" spans="24:75" x14ac:dyDescent="0.25"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" t="str">
        <f t="shared" si="21"/>
        <v>AB</v>
      </c>
      <c r="AT24" s="1">
        <v>0</v>
      </c>
      <c r="AU24" s="15">
        <f t="shared" si="22"/>
        <v>12.063829787234075</v>
      </c>
      <c r="AV24" s="19"/>
      <c r="AW24" s="19"/>
      <c r="AX24" s="19"/>
      <c r="AY24" s="19"/>
      <c r="AZ24" s="19"/>
      <c r="BA24" s="19"/>
    </row>
    <row r="25" spans="24:75" x14ac:dyDescent="0.25">
      <c r="X25" s="18"/>
      <c r="Y25" s="18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" t="str">
        <f t="shared" si="21"/>
        <v xml:space="preserve">C </v>
      </c>
      <c r="AT25" s="1">
        <v>0</v>
      </c>
      <c r="AU25" s="15">
        <f t="shared" si="22"/>
        <v>104.02735562310045</v>
      </c>
      <c r="AV25" s="19"/>
      <c r="AW25" s="19"/>
      <c r="AX25" s="19"/>
      <c r="AY25" s="19"/>
      <c r="AZ25" s="19"/>
      <c r="BA25" s="19"/>
    </row>
    <row r="26" spans="24:75" x14ac:dyDescent="0.25">
      <c r="X26" s="18"/>
      <c r="Y26" s="18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" t="str">
        <f t="shared" si="21"/>
        <v>AC</v>
      </c>
      <c r="AT26" s="1">
        <v>0</v>
      </c>
      <c r="AU26" s="15">
        <f t="shared" si="22"/>
        <v>0.36778115501519898</v>
      </c>
      <c r="AV26" s="19"/>
      <c r="AW26" s="19"/>
      <c r="AX26" s="19"/>
      <c r="AY26" s="19"/>
      <c r="AZ26" s="19"/>
      <c r="BA26" s="19"/>
      <c r="BC26" s="96"/>
    </row>
    <row r="27" spans="24:75" x14ac:dyDescent="0.25">
      <c r="X27" s="18"/>
      <c r="Y27" s="18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" t="str">
        <f t="shared" si="21"/>
        <v>BC</v>
      </c>
      <c r="AT27" s="1">
        <v>0</v>
      </c>
      <c r="AU27" s="15">
        <f t="shared" si="22"/>
        <v>2.5562310030395143</v>
      </c>
      <c r="AV27" s="19"/>
      <c r="AW27" s="19"/>
      <c r="AX27" s="19"/>
      <c r="AY27" s="19"/>
      <c r="AZ27" s="19"/>
      <c r="BA27" s="19"/>
    </row>
    <row r="28" spans="24:75" x14ac:dyDescent="0.25">
      <c r="Y28" s="18"/>
      <c r="Z28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" t="str">
        <f t="shared" si="21"/>
        <v>ABC</v>
      </c>
      <c r="AT28" s="1">
        <v>0</v>
      </c>
      <c r="AU28" s="15">
        <f t="shared" si="22"/>
        <v>7.5987841945286697E-2</v>
      </c>
      <c r="AV28" s="19"/>
      <c r="AW28" s="19"/>
      <c r="AX28" s="19"/>
      <c r="AY28" s="19"/>
      <c r="AZ28" s="19"/>
      <c r="BA28" s="19"/>
    </row>
    <row r="29" spans="24:75" x14ac:dyDescent="0.25"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4:75" x14ac:dyDescent="0.25"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V30" s="19"/>
      <c r="AW30" s="19"/>
      <c r="AX30" s="19"/>
      <c r="AY30" s="19"/>
      <c r="AZ30" s="19"/>
      <c r="BA30" s="19"/>
    </row>
    <row r="31" spans="24:75" x14ac:dyDescent="0.25"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V31" s="19"/>
      <c r="AW31" s="19"/>
      <c r="AX31" s="19"/>
      <c r="AY31" s="19"/>
      <c r="AZ31" s="19"/>
      <c r="BA31" s="19"/>
    </row>
    <row r="32" spans="24:75" x14ac:dyDescent="0.25"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V32" s="19"/>
      <c r="AW32" s="19"/>
      <c r="AX32" s="19"/>
      <c r="AY32" s="19"/>
      <c r="AZ32" s="19"/>
      <c r="BA32" s="19"/>
    </row>
    <row r="33" spans="14:53" x14ac:dyDescent="0.25"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V33" s="19"/>
      <c r="AW33" s="19"/>
      <c r="AX33" s="19"/>
      <c r="AY33" s="19"/>
      <c r="AZ33" s="19"/>
      <c r="BA33" s="19"/>
    </row>
    <row r="34" spans="14:53" x14ac:dyDescent="0.25"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V34" s="19"/>
      <c r="AW34" s="19"/>
      <c r="AX34" s="19"/>
      <c r="AY34" s="19"/>
      <c r="AZ34" s="19"/>
      <c r="BA34" s="19"/>
    </row>
    <row r="35" spans="14:53" x14ac:dyDescent="0.25"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V35" s="19"/>
      <c r="AW35" s="19"/>
      <c r="AX35" s="19"/>
      <c r="AY35" s="19"/>
      <c r="AZ35" s="19"/>
      <c r="BA35" s="19"/>
    </row>
    <row r="36" spans="14:53" x14ac:dyDescent="0.25">
      <c r="P36" s="8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V36" s="19"/>
      <c r="AW36" s="19"/>
      <c r="AX36" s="19"/>
      <c r="AY36" s="19"/>
      <c r="AZ36" s="19"/>
      <c r="BA36" s="19"/>
    </row>
    <row r="37" spans="14:53" x14ac:dyDescent="0.25"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V37" s="19"/>
      <c r="AW37" s="19"/>
      <c r="AX37" s="19"/>
      <c r="AY37" s="19"/>
      <c r="AZ37" s="19"/>
      <c r="BA37" s="19"/>
    </row>
    <row r="38" spans="14:53" x14ac:dyDescent="0.25">
      <c r="N38" s="8"/>
      <c r="P38" s="10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V38" s="19"/>
      <c r="AW38" s="19"/>
      <c r="AX38" s="19"/>
      <c r="AY38" s="19"/>
      <c r="AZ38" s="19"/>
      <c r="BA38" s="19"/>
    </row>
    <row r="39" spans="14:53" x14ac:dyDescent="0.25">
      <c r="N39" s="8"/>
      <c r="P39" s="10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V39" s="19"/>
      <c r="AW39" s="19"/>
      <c r="AX39" s="19"/>
      <c r="AY39" s="19"/>
      <c r="AZ39" s="19"/>
      <c r="BA39" s="19"/>
    </row>
    <row r="40" spans="14:53" x14ac:dyDescent="0.25"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19"/>
      <c r="AV40" s="19"/>
      <c r="AW40" s="19"/>
      <c r="AX40" s="19"/>
      <c r="AY40" s="19"/>
      <c r="AZ40" s="19"/>
      <c r="BA40" s="19"/>
    </row>
    <row r="41" spans="14:53" x14ac:dyDescent="0.25">
      <c r="AH41" s="19"/>
      <c r="AI41" s="19"/>
      <c r="AJ41" s="19"/>
      <c r="AK41" s="193" t="s">
        <v>75</v>
      </c>
      <c r="AL41" s="194"/>
      <c r="AM41" s="194"/>
      <c r="AN41" s="195"/>
      <c r="AO41" s="19"/>
      <c r="AP41" s="19"/>
      <c r="AQ41" s="19"/>
      <c r="AR41" s="19"/>
      <c r="AV41" s="19"/>
      <c r="AW41" s="19"/>
      <c r="AX41" s="19"/>
      <c r="AY41" s="19"/>
      <c r="AZ41" s="19"/>
      <c r="BA41" s="19"/>
    </row>
    <row r="42" spans="14:53" x14ac:dyDescent="0.25">
      <c r="AH42" s="19"/>
      <c r="AI42" s="19"/>
      <c r="AJ42" s="19"/>
      <c r="AK42" s="58" t="s">
        <v>0</v>
      </c>
      <c r="AL42" s="58" t="s">
        <v>1</v>
      </c>
      <c r="AM42" s="193" t="s">
        <v>46</v>
      </c>
      <c r="AN42" s="195"/>
      <c r="AO42" s="19"/>
      <c r="AP42" s="19"/>
      <c r="AQ42" s="19"/>
      <c r="AR42" s="19"/>
      <c r="AV42" s="19"/>
      <c r="AW42" s="19"/>
      <c r="AX42" s="19"/>
      <c r="AY42" s="19"/>
      <c r="AZ42" s="19"/>
      <c r="BA42" s="19"/>
    </row>
    <row r="43" spans="14:53" ht="21" customHeight="1" x14ac:dyDescent="0.25">
      <c r="AH43" s="19"/>
      <c r="AI43" s="19"/>
      <c r="AJ43" s="59" t="str">
        <f>$C$6</f>
        <v>Anpressdruck</v>
      </c>
      <c r="AK43" s="89">
        <v>-1</v>
      </c>
      <c r="AL43" s="5">
        <v>-1</v>
      </c>
      <c r="AM43" s="62">
        <f>($AG$5+$AG$9)/2</f>
        <v>32.15</v>
      </c>
      <c r="AN43" s="61"/>
      <c r="AO43" s="19"/>
      <c r="AP43" s="19"/>
      <c r="AQ43" s="19"/>
      <c r="AR43" s="19"/>
      <c r="AV43" s="19"/>
      <c r="AW43" s="19"/>
      <c r="AX43" s="19"/>
      <c r="AY43" s="19"/>
      <c r="AZ43" s="19"/>
      <c r="BA43" s="19"/>
    </row>
    <row r="44" spans="14:53" ht="18" x14ac:dyDescent="0.25">
      <c r="AH44" s="19"/>
      <c r="AI44" s="19"/>
      <c r="AJ44" s="60" t="s">
        <v>83</v>
      </c>
      <c r="AK44" s="89">
        <v>1</v>
      </c>
      <c r="AL44" s="5">
        <v>-1</v>
      </c>
      <c r="AM44" s="62">
        <f>($AG$6+$AG$10)/2</f>
        <v>36.25</v>
      </c>
      <c r="AN44" s="61"/>
      <c r="AO44" s="19"/>
      <c r="AP44" s="19"/>
      <c r="AQ44" s="19"/>
      <c r="AR44" s="19"/>
      <c r="AV44" s="19"/>
      <c r="AW44" s="19"/>
      <c r="AX44" s="19"/>
      <c r="AY44" s="19"/>
      <c r="AZ44" s="19"/>
      <c r="BA44" s="19"/>
    </row>
    <row r="45" spans="14:53" ht="21" customHeight="1" x14ac:dyDescent="0.25">
      <c r="AH45" s="19"/>
      <c r="AI45" s="19"/>
      <c r="AJ45" s="59" t="str">
        <f>C6</f>
        <v>Anpressdruck</v>
      </c>
      <c r="AK45" s="89">
        <v>-1</v>
      </c>
      <c r="AL45" s="5">
        <v>1</v>
      </c>
      <c r="AM45" s="62">
        <f>($AG$7+$AG$11)/2</f>
        <v>34.700000000000003</v>
      </c>
      <c r="AN45" s="61"/>
      <c r="AO45" s="19"/>
      <c r="AP45" s="19"/>
      <c r="AQ45" s="19"/>
      <c r="AR45" s="19"/>
      <c r="AV45" s="19"/>
      <c r="AW45" s="19"/>
      <c r="AX45" s="19"/>
      <c r="AY45" s="19"/>
      <c r="AZ45" s="19"/>
      <c r="BA45" s="19"/>
    </row>
    <row r="46" spans="14:53" ht="18" x14ac:dyDescent="0.25">
      <c r="AH46" s="19"/>
      <c r="AI46" s="19"/>
      <c r="AJ46" s="60" t="s">
        <v>84</v>
      </c>
      <c r="AK46" s="89">
        <v>1</v>
      </c>
      <c r="AL46" s="5">
        <v>1</v>
      </c>
      <c r="AM46" s="62">
        <f>($AG$8+$AG$12)/2</f>
        <v>35.65</v>
      </c>
      <c r="AN46" s="61"/>
      <c r="AO46" s="19"/>
      <c r="AP46" s="19"/>
      <c r="AQ46" s="19"/>
      <c r="AR46" s="19"/>
      <c r="AV46" s="19"/>
      <c r="AW46" s="19"/>
      <c r="AX46" s="19"/>
      <c r="AY46" s="19"/>
      <c r="AZ46" s="19"/>
      <c r="BA46" s="19"/>
    </row>
    <row r="47" spans="14:53" x14ac:dyDescent="0.25"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V47" s="19"/>
      <c r="AW47" s="19"/>
      <c r="AX47" s="19"/>
      <c r="AY47" s="19"/>
      <c r="AZ47" s="19"/>
      <c r="BA47" s="19"/>
    </row>
    <row r="48" spans="14:53" x14ac:dyDescent="0.25"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V48" s="19"/>
      <c r="AW48" s="19"/>
      <c r="AX48" s="19"/>
      <c r="AY48" s="19"/>
      <c r="AZ48" s="19"/>
      <c r="BA48" s="19"/>
    </row>
    <row r="49" spans="34:53" x14ac:dyDescent="0.25"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34:53" x14ac:dyDescent="0.25"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34:53" x14ac:dyDescent="0.25"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34:53" x14ac:dyDescent="0.25"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34:53" x14ac:dyDescent="0.25"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34:53" x14ac:dyDescent="0.25"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34:53" x14ac:dyDescent="0.25"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34:53" x14ac:dyDescent="0.25"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34:53" x14ac:dyDescent="0.25"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34:53" x14ac:dyDescent="0.25"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34:53" x14ac:dyDescent="0.25"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34:53" x14ac:dyDescent="0.25"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34:53" x14ac:dyDescent="0.25"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34:53" x14ac:dyDescent="0.25"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34:53" x14ac:dyDescent="0.25"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34:53" x14ac:dyDescent="0.25"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34:43" ht="27.75" customHeight="1" x14ac:dyDescent="0.25"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</row>
    <row r="66" spans="34:43" ht="16.5" customHeight="1" x14ac:dyDescent="0.25">
      <c r="AH66" s="161"/>
      <c r="AI66" s="161"/>
      <c r="AJ66" s="161"/>
      <c r="AK66" s="215" t="s">
        <v>76</v>
      </c>
      <c r="AL66" s="216"/>
      <c r="AM66" s="216"/>
      <c r="AN66" s="217"/>
      <c r="AO66" s="161"/>
      <c r="AP66" s="161"/>
      <c r="AQ66" s="161"/>
    </row>
    <row r="67" spans="34:43" x14ac:dyDescent="0.25">
      <c r="AH67" s="19"/>
      <c r="AI67" s="19"/>
      <c r="AJ67" s="19"/>
      <c r="AK67" s="160" t="s">
        <v>0</v>
      </c>
      <c r="AL67" s="160" t="s">
        <v>25</v>
      </c>
      <c r="AM67" s="218" t="s">
        <v>46</v>
      </c>
      <c r="AN67" s="219"/>
      <c r="AO67" s="19"/>
      <c r="AP67" s="19"/>
      <c r="AQ67" s="19"/>
    </row>
    <row r="68" spans="34:43" x14ac:dyDescent="0.25">
      <c r="AH68" s="19"/>
      <c r="AI68" s="19"/>
      <c r="AJ68" s="59" t="str">
        <f>$C$7</f>
        <v>Anpressdauer</v>
      </c>
      <c r="AK68" s="89">
        <v>-1</v>
      </c>
      <c r="AL68" s="5">
        <v>-1</v>
      </c>
      <c r="AM68" s="62">
        <f>($AG$5+$AG$7)/2</f>
        <v>31.25</v>
      </c>
      <c r="AN68" s="61"/>
      <c r="AO68" s="19"/>
      <c r="AP68" s="19"/>
      <c r="AQ68" s="19"/>
    </row>
    <row r="69" spans="34:43" ht="18" x14ac:dyDescent="0.25">
      <c r="AH69" s="19"/>
      <c r="AI69" s="19"/>
      <c r="AJ69" s="60" t="s">
        <v>85</v>
      </c>
      <c r="AK69" s="89">
        <v>1</v>
      </c>
      <c r="AL69" s="5">
        <v>-1</v>
      </c>
      <c r="AM69" s="62">
        <f>($AG$6+$AG$8)/2</f>
        <v>33.5</v>
      </c>
      <c r="AN69" s="61"/>
      <c r="AO69" s="19"/>
      <c r="AP69" s="19"/>
      <c r="AQ69" s="19"/>
    </row>
    <row r="70" spans="34:43" x14ac:dyDescent="0.25">
      <c r="AH70" s="19"/>
      <c r="AI70" s="19"/>
      <c r="AJ70" s="59" t="str">
        <f>$C$7</f>
        <v>Anpressdauer</v>
      </c>
      <c r="AK70" s="89">
        <v>-1</v>
      </c>
      <c r="AL70" s="5">
        <v>1</v>
      </c>
      <c r="AM70" s="62">
        <f>($AG$9+$AG$11)/2</f>
        <v>35.599999999999994</v>
      </c>
      <c r="AN70" s="61"/>
      <c r="AO70" s="19"/>
      <c r="AP70" s="19"/>
      <c r="AQ70" s="19"/>
    </row>
    <row r="71" spans="34:43" ht="18" x14ac:dyDescent="0.25">
      <c r="AH71" s="19"/>
      <c r="AI71" s="19"/>
      <c r="AJ71" s="60" t="s">
        <v>86</v>
      </c>
      <c r="AK71" s="89">
        <v>1</v>
      </c>
      <c r="AL71" s="5">
        <v>1</v>
      </c>
      <c r="AM71" s="62">
        <f>($AG$10+$AG$12)/2</f>
        <v>38.4</v>
      </c>
      <c r="AN71" s="61"/>
      <c r="AO71" s="19"/>
      <c r="AP71" s="19"/>
      <c r="AQ71" s="19"/>
    </row>
    <row r="72" spans="34:43" x14ac:dyDescent="0.25"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34:43" x14ac:dyDescent="0.25"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34:43" x14ac:dyDescent="0.25"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34:43" x14ac:dyDescent="0.25"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34:43" x14ac:dyDescent="0.25"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34:43" x14ac:dyDescent="0.25"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34:43" x14ac:dyDescent="0.25"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34:43" x14ac:dyDescent="0.25"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34:43" x14ac:dyDescent="0.25"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34:43" x14ac:dyDescent="0.25"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34:43" x14ac:dyDescent="0.25"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34:43" x14ac:dyDescent="0.25"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34:43" x14ac:dyDescent="0.25"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34:43" x14ac:dyDescent="0.25"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34:43" x14ac:dyDescent="0.25"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34:43" x14ac:dyDescent="0.25"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pans="34:43" x14ac:dyDescent="0.25">
      <c r="AH88" s="19"/>
      <c r="AI88" s="19"/>
      <c r="AJ88" s="19"/>
      <c r="AK88" s="19"/>
      <c r="AL88" s="19"/>
      <c r="AM88" s="19"/>
      <c r="AN88" s="19"/>
      <c r="AO88" s="19"/>
      <c r="AP88" s="19"/>
      <c r="AQ88" s="19"/>
    </row>
    <row r="89" spans="34:43" x14ac:dyDescent="0.25"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pans="34:43" x14ac:dyDescent="0.25"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34:43" x14ac:dyDescent="0.25"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pans="34:43" x14ac:dyDescent="0.25">
      <c r="AH92" s="63"/>
      <c r="AI92" s="63"/>
      <c r="AJ92" s="63"/>
      <c r="AK92" s="63"/>
      <c r="AL92" s="63"/>
      <c r="AM92" s="63"/>
      <c r="AN92" s="63"/>
      <c r="AO92" s="63"/>
      <c r="AP92" s="63"/>
      <c r="AQ92" s="63"/>
    </row>
    <row r="93" spans="34:43" x14ac:dyDescent="0.25">
      <c r="AH93" s="19"/>
      <c r="AI93" s="19"/>
      <c r="AJ93" s="19"/>
      <c r="AK93" s="193" t="s">
        <v>77</v>
      </c>
      <c r="AL93" s="194"/>
      <c r="AM93" s="194"/>
      <c r="AN93" s="195"/>
      <c r="AO93" s="19"/>
      <c r="AP93" s="19"/>
      <c r="AQ93" s="19"/>
    </row>
    <row r="94" spans="34:43" x14ac:dyDescent="0.25">
      <c r="AH94" s="19"/>
      <c r="AI94" s="19"/>
      <c r="AJ94" s="19"/>
      <c r="AK94" s="58" t="s">
        <v>1</v>
      </c>
      <c r="AL94" s="58" t="s">
        <v>25</v>
      </c>
      <c r="AM94" s="193" t="s">
        <v>46</v>
      </c>
      <c r="AN94" s="195"/>
      <c r="AO94" s="19"/>
      <c r="AP94" s="19"/>
      <c r="AQ94" s="19"/>
    </row>
    <row r="95" spans="34:43" x14ac:dyDescent="0.25">
      <c r="AH95" s="19"/>
      <c r="AI95" s="19"/>
      <c r="AJ95" s="59" t="str">
        <f>$C$7</f>
        <v>Anpressdauer</v>
      </c>
      <c r="AK95" s="89">
        <v>-1</v>
      </c>
      <c r="AL95" s="5">
        <v>-1</v>
      </c>
      <c r="AM95" s="62">
        <f>($AG$5+$AG$6)/2</f>
        <v>32.25</v>
      </c>
      <c r="AN95" s="61"/>
      <c r="AO95" s="19"/>
      <c r="AP95" s="19"/>
      <c r="AQ95" s="19"/>
    </row>
    <row r="96" spans="34:43" ht="18" x14ac:dyDescent="0.25">
      <c r="AH96" s="19"/>
      <c r="AI96" s="19"/>
      <c r="AJ96" s="60" t="s">
        <v>85</v>
      </c>
      <c r="AK96" s="89">
        <v>1</v>
      </c>
      <c r="AL96" s="5">
        <v>-1</v>
      </c>
      <c r="AM96" s="62">
        <f>($AG$7+$AG$8)/2</f>
        <v>32.5</v>
      </c>
      <c r="AN96" s="61"/>
      <c r="AO96" s="19"/>
      <c r="AP96" s="19"/>
      <c r="AQ96" s="19"/>
    </row>
    <row r="97" spans="34:43" x14ac:dyDescent="0.25">
      <c r="AH97" s="19"/>
      <c r="AI97" s="19"/>
      <c r="AJ97" s="59" t="str">
        <f>$C$7</f>
        <v>Anpressdauer</v>
      </c>
      <c r="AK97" s="89">
        <v>-1</v>
      </c>
      <c r="AL97" s="5">
        <v>1</v>
      </c>
      <c r="AM97" s="62">
        <f>($AG$9+$AG$10)/2</f>
        <v>36.15</v>
      </c>
      <c r="AN97" s="61"/>
      <c r="AO97" s="19"/>
      <c r="AP97" s="19"/>
      <c r="AQ97" s="19"/>
    </row>
    <row r="98" spans="34:43" ht="18" x14ac:dyDescent="0.25">
      <c r="AH98" s="19"/>
      <c r="AI98" s="19"/>
      <c r="AJ98" s="60" t="s">
        <v>87</v>
      </c>
      <c r="AK98" s="89">
        <v>1</v>
      </c>
      <c r="AL98" s="5">
        <v>1</v>
      </c>
      <c r="AM98" s="62">
        <f>($AG$11+$AG$12)/2</f>
        <v>37.849999999999994</v>
      </c>
      <c r="AN98" s="61"/>
      <c r="AO98" s="19"/>
      <c r="AP98" s="19"/>
      <c r="AQ98" s="19"/>
    </row>
    <row r="99" spans="34:43" x14ac:dyDescent="0.25">
      <c r="AH99" s="19"/>
      <c r="AI99" s="19"/>
      <c r="AJ99" s="19"/>
      <c r="AK99" s="19"/>
      <c r="AL99" s="19"/>
      <c r="AM99" s="19"/>
      <c r="AN99" s="19"/>
      <c r="AO99" s="19"/>
      <c r="AP99" s="19"/>
      <c r="AQ99" s="19"/>
    </row>
    <row r="100" spans="34:43" x14ac:dyDescent="0.25"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</row>
    <row r="101" spans="34:43" x14ac:dyDescent="0.25"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</row>
    <row r="102" spans="34:43" x14ac:dyDescent="0.25"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</row>
    <row r="103" spans="34:43" x14ac:dyDescent="0.25"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</row>
    <row r="104" spans="34:43" x14ac:dyDescent="0.25"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</row>
    <row r="105" spans="34:43" x14ac:dyDescent="0.25"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</row>
    <row r="106" spans="34:43" x14ac:dyDescent="0.25"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</row>
    <row r="107" spans="34:43" x14ac:dyDescent="0.25"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</row>
    <row r="108" spans="34:43" x14ac:dyDescent="0.25"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</row>
    <row r="109" spans="34:43" x14ac:dyDescent="0.25"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</row>
    <row r="110" spans="34:43" x14ac:dyDescent="0.25"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</row>
    <row r="111" spans="34:43" x14ac:dyDescent="0.25"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</row>
    <row r="112" spans="34:43" x14ac:dyDescent="0.25"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</row>
    <row r="113" spans="34:43" x14ac:dyDescent="0.25"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</row>
    <row r="114" spans="34:43" x14ac:dyDescent="0.25"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</row>
    <row r="115" spans="34:43" x14ac:dyDescent="0.25"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</row>
    <row r="116" spans="34:43" x14ac:dyDescent="0.25"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</row>
    <row r="117" spans="34:43" x14ac:dyDescent="0.25"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</row>
    <row r="118" spans="34:43" x14ac:dyDescent="0.25"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</row>
    <row r="119" spans="34:43" x14ac:dyDescent="0.25"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</row>
    <row r="120" spans="34:43" x14ac:dyDescent="0.25"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</row>
    <row r="121" spans="34:43" x14ac:dyDescent="0.25"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</row>
    <row r="122" spans="34:43" x14ac:dyDescent="0.25"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</row>
    <row r="123" spans="34:43" x14ac:dyDescent="0.25"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</row>
    <row r="124" spans="34:43" x14ac:dyDescent="0.25"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</row>
    <row r="125" spans="34:43" x14ac:dyDescent="0.25"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</row>
    <row r="126" spans="34:43" x14ac:dyDescent="0.25"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</row>
    <row r="127" spans="34:43" x14ac:dyDescent="0.25"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</row>
    <row r="128" spans="34:43" x14ac:dyDescent="0.25"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</row>
    <row r="129" spans="34:43" x14ac:dyDescent="0.25"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</row>
    <row r="130" spans="34:43" x14ac:dyDescent="0.25"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</row>
    <row r="131" spans="34:43" x14ac:dyDescent="0.25"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</row>
    <row r="132" spans="34:43" x14ac:dyDescent="0.25"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</row>
    <row r="133" spans="34:43" x14ac:dyDescent="0.25"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</row>
    <row r="134" spans="34:43" x14ac:dyDescent="0.25"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</row>
    <row r="135" spans="34:43" x14ac:dyDescent="0.25"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</row>
    <row r="136" spans="34:43" x14ac:dyDescent="0.25"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</row>
    <row r="137" spans="34:43" x14ac:dyDescent="0.25"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</row>
    <row r="138" spans="34:43" x14ac:dyDescent="0.25"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</row>
    <row r="139" spans="34:43" x14ac:dyDescent="0.25"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</row>
  </sheetData>
  <mergeCells count="23">
    <mergeCell ref="AM42:AN42"/>
    <mergeCell ref="AK66:AN66"/>
    <mergeCell ref="AM67:AN67"/>
    <mergeCell ref="AK93:AN93"/>
    <mergeCell ref="AM94:AN94"/>
    <mergeCell ref="AV14:AV15"/>
    <mergeCell ref="AW14:AW15"/>
    <mergeCell ref="AJ15:AP15"/>
    <mergeCell ref="K5:L5"/>
    <mergeCell ref="AS5:AT5"/>
    <mergeCell ref="F3:G3"/>
    <mergeCell ref="X3:AE3"/>
    <mergeCell ref="AJ3:AP3"/>
    <mergeCell ref="AR3:AS3"/>
    <mergeCell ref="AK41:AN41"/>
    <mergeCell ref="K6:L6"/>
    <mergeCell ref="AS6:AT6"/>
    <mergeCell ref="AS7:AT7"/>
    <mergeCell ref="AS8:AT8"/>
    <mergeCell ref="AS9:AT9"/>
    <mergeCell ref="AS10:AT10"/>
    <mergeCell ref="AS11:AT11"/>
    <mergeCell ref="AS12:AT12"/>
  </mergeCells>
  <conditionalFormatting sqref="AY6:AZ6 AX6:AX12 AZ7:AZ12">
    <cfRule type="cellIs" dxfId="6" priority="3" operator="equal">
      <formula>"signifikant"</formula>
    </cfRule>
  </conditionalFormatting>
  <conditionalFormatting sqref="AY6:AZ12">
    <cfRule type="cellIs" dxfId="5" priority="2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scale="22" orientation="landscape" verticalDpi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J139"/>
  <sheetViews>
    <sheetView zoomScaleNormal="100" workbookViewId="0"/>
  </sheetViews>
  <sheetFormatPr baseColWidth="10" defaultRowHeight="15" x14ac:dyDescent="0.25"/>
  <cols>
    <col min="1" max="1" width="4" customWidth="1"/>
    <col min="2" max="2" width="5.28515625" customWidth="1"/>
    <col min="3" max="3" width="19.28515625" customWidth="1"/>
    <col min="4" max="4" width="14.85546875" customWidth="1"/>
    <col min="5" max="5" width="15.140625" customWidth="1"/>
    <col min="6" max="6" width="12.7109375" customWidth="1"/>
    <col min="8" max="8" width="2.42578125" customWidth="1"/>
    <col min="9" max="9" width="1.7109375" customWidth="1"/>
    <col min="10" max="10" width="2.140625" customWidth="1"/>
    <col min="11" max="11" width="10.5703125" customWidth="1"/>
    <col min="12" max="12" width="11.5703125" customWidth="1"/>
    <col min="13" max="13" width="12.28515625" customWidth="1"/>
    <col min="14" max="14" width="7.28515625" customWidth="1"/>
    <col min="15" max="15" width="13.140625" customWidth="1"/>
    <col min="16" max="16" width="9.140625" customWidth="1"/>
    <col min="17" max="17" width="12.85546875" customWidth="1"/>
    <col min="18" max="18" width="15.28515625" customWidth="1"/>
    <col min="19" max="19" width="11.5703125" customWidth="1"/>
    <col min="20" max="20" width="9.42578125" customWidth="1"/>
    <col min="21" max="21" width="2.28515625" customWidth="1"/>
    <col min="22" max="22" width="1.7109375" customWidth="1"/>
    <col min="23" max="23" width="2.140625" customWidth="1"/>
    <col min="24" max="24" width="9.140625" customWidth="1"/>
    <col min="25" max="25" width="7.42578125" customWidth="1"/>
    <col min="26" max="32" width="6.7109375" style="18" customWidth="1"/>
    <col min="33" max="33" width="8.28515625" style="18" customWidth="1"/>
    <col min="34" max="34" width="18.7109375" bestFit="1" customWidth="1"/>
    <col min="35" max="35" width="2.7109375" customWidth="1"/>
    <col min="36" max="36" width="3.28515625" customWidth="1"/>
    <col min="37" max="43" width="12.7109375" customWidth="1"/>
    <col min="44" max="44" width="5.7109375" customWidth="1"/>
    <col min="45" max="46" width="12.28515625" customWidth="1"/>
    <col min="47" max="47" width="6.7109375" customWidth="1"/>
    <col min="48" max="48" width="9.7109375" customWidth="1"/>
    <col min="49" max="49" width="12.42578125" customWidth="1"/>
    <col min="50" max="50" width="12.28515625" customWidth="1"/>
    <col min="51" max="51" width="16.85546875" customWidth="1"/>
    <col min="52" max="52" width="5.7109375" customWidth="1"/>
    <col min="53" max="53" width="9.7109375" customWidth="1"/>
    <col min="54" max="54" width="5.85546875" customWidth="1"/>
    <col min="55" max="55" width="3.85546875" customWidth="1"/>
    <col min="57" max="57" width="9.140625" customWidth="1"/>
    <col min="58" max="58" width="5.28515625" customWidth="1"/>
    <col min="59" max="59" width="3.7109375" customWidth="1"/>
    <col min="60" max="60" width="4.28515625" customWidth="1"/>
    <col min="61" max="61" width="2.5703125" customWidth="1"/>
    <col min="62" max="62" width="4.140625" customWidth="1"/>
    <col min="63" max="63" width="2.42578125" customWidth="1"/>
    <col min="64" max="64" width="4.140625" customWidth="1"/>
    <col min="65" max="65" width="2.28515625" customWidth="1"/>
    <col min="66" max="66" width="4" customWidth="1"/>
    <col min="67" max="67" width="8.7109375" customWidth="1"/>
    <col min="68" max="68" width="3.42578125" customWidth="1"/>
    <col min="69" max="69" width="8.7109375" customWidth="1"/>
    <col min="70" max="70" width="4.28515625" customWidth="1"/>
    <col min="71" max="71" width="8.7109375" customWidth="1"/>
    <col min="72" max="72" width="3.42578125" customWidth="1"/>
    <col min="73" max="73" width="8.7109375" customWidth="1"/>
    <col min="74" max="74" width="3.28515625" customWidth="1"/>
    <col min="75" max="75" width="8.7109375" customWidth="1"/>
    <col min="76" max="76" width="4.7109375" customWidth="1"/>
    <col min="88" max="88" width="4.28515625" customWidth="1"/>
  </cols>
  <sheetData>
    <row r="1" spans="1:88" ht="15.75" x14ac:dyDescent="0.25">
      <c r="A1" s="68"/>
      <c r="B1" s="68"/>
      <c r="C1" s="70" t="s">
        <v>79</v>
      </c>
      <c r="D1" s="68"/>
      <c r="E1" s="68"/>
      <c r="F1" s="68"/>
      <c r="G1" s="68"/>
      <c r="H1" s="68"/>
      <c r="I1" s="68"/>
      <c r="J1" s="68"/>
      <c r="K1" s="70" t="s">
        <v>80</v>
      </c>
      <c r="L1" s="68"/>
      <c r="M1" s="68"/>
      <c r="N1" s="68"/>
      <c r="O1" s="68"/>
      <c r="P1" s="68"/>
      <c r="Q1" s="68"/>
      <c r="R1" s="70"/>
      <c r="S1" s="70"/>
      <c r="T1" s="70"/>
      <c r="U1" s="70"/>
      <c r="V1" s="39"/>
      <c r="W1" s="68"/>
      <c r="X1" s="70" t="s">
        <v>81</v>
      </c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39"/>
      <c r="AK1" s="70"/>
      <c r="AL1" s="70" t="s">
        <v>82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19"/>
      <c r="BS1" s="19"/>
      <c r="BT1" s="19"/>
      <c r="BU1" s="19"/>
      <c r="BV1" s="19"/>
      <c r="BW1" s="19"/>
      <c r="BX1" s="19"/>
    </row>
    <row r="2" spans="1:88" x14ac:dyDescent="0.25">
      <c r="A2" s="19"/>
      <c r="B2" s="19"/>
      <c r="C2" s="19"/>
      <c r="D2" s="19"/>
      <c r="E2" s="19"/>
      <c r="F2" s="19"/>
      <c r="G2" s="19"/>
      <c r="H2" s="19"/>
      <c r="I2" s="3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3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</row>
    <row r="3" spans="1:88" ht="18" customHeight="1" x14ac:dyDescent="0.35">
      <c r="A3" s="19"/>
      <c r="B3" s="19"/>
      <c r="C3" s="155" t="s">
        <v>67</v>
      </c>
      <c r="D3" s="220" t="s">
        <v>119</v>
      </c>
      <c r="E3" s="221"/>
      <c r="F3" s="198" t="s">
        <v>22</v>
      </c>
      <c r="G3" s="210"/>
      <c r="H3" s="19"/>
      <c r="I3" s="67"/>
      <c r="J3" s="19"/>
      <c r="K3" s="82" t="s">
        <v>78</v>
      </c>
      <c r="L3" s="80"/>
      <c r="M3" s="80"/>
      <c r="N3" s="95" t="str">
        <f>D3</f>
        <v>Durchlaufzeit in Tagen</v>
      </c>
      <c r="O3" s="80"/>
      <c r="P3" s="80"/>
      <c r="Q3" s="80"/>
      <c r="R3" s="80"/>
      <c r="S3" s="80"/>
      <c r="T3" s="81"/>
      <c r="U3" s="19"/>
      <c r="V3" s="67"/>
      <c r="W3" s="19"/>
      <c r="X3" s="193" t="s">
        <v>16</v>
      </c>
      <c r="Y3" s="194"/>
      <c r="Z3" s="194"/>
      <c r="AA3" s="194"/>
      <c r="AB3" s="194"/>
      <c r="AC3" s="194"/>
      <c r="AD3" s="194"/>
      <c r="AE3" s="195"/>
      <c r="AF3" s="19"/>
      <c r="AG3" s="19"/>
      <c r="AH3" s="19"/>
      <c r="AI3" s="19"/>
      <c r="AJ3" s="19"/>
      <c r="AK3" s="193" t="s">
        <v>64</v>
      </c>
      <c r="AL3" s="194"/>
      <c r="AM3" s="194"/>
      <c r="AN3" s="194"/>
      <c r="AO3" s="194"/>
      <c r="AP3" s="194"/>
      <c r="AQ3" s="195"/>
      <c r="AR3" s="19"/>
      <c r="AS3" s="200" t="s">
        <v>18</v>
      </c>
      <c r="AT3" s="191"/>
      <c r="AU3" s="192"/>
      <c r="AV3" s="164" t="s">
        <v>36</v>
      </c>
      <c r="AW3" s="19"/>
      <c r="AX3" s="19"/>
      <c r="AY3" s="19"/>
      <c r="AZ3" s="19"/>
      <c r="BA3" s="19"/>
      <c r="BB3" s="19"/>
      <c r="BC3" s="19"/>
      <c r="BD3" s="7" t="s">
        <v>43</v>
      </c>
      <c r="BE3" s="19"/>
      <c r="BF3" s="19"/>
      <c r="BG3" s="19"/>
      <c r="BH3" s="86" t="s">
        <v>60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27" t="s">
        <v>45</v>
      </c>
      <c r="BW3" s="11">
        <f>$AV$5</f>
        <v>7.2624999999999993</v>
      </c>
      <c r="BX3" s="19"/>
    </row>
    <row r="4" spans="1:88" ht="22.5" customHeight="1" x14ac:dyDescent="0.35">
      <c r="A4" s="19"/>
      <c r="B4" s="19"/>
      <c r="C4" s="53" t="s">
        <v>19</v>
      </c>
      <c r="D4" s="53" t="s">
        <v>21</v>
      </c>
      <c r="E4" s="53" t="s">
        <v>20</v>
      </c>
      <c r="F4" s="7" t="s">
        <v>23</v>
      </c>
      <c r="G4" s="7" t="s">
        <v>24</v>
      </c>
      <c r="H4" s="19"/>
      <c r="I4" s="67"/>
      <c r="J4" s="19"/>
      <c r="K4" s="72"/>
      <c r="L4" s="73"/>
      <c r="M4" s="77"/>
      <c r="N4" s="71" t="str">
        <f>B7</f>
        <v>C</v>
      </c>
      <c r="O4" s="78"/>
      <c r="P4" s="77" t="str">
        <f>C7</f>
        <v>Lieferantenauswahl</v>
      </c>
      <c r="Q4" s="77"/>
      <c r="R4" s="77"/>
      <c r="S4" s="77"/>
      <c r="T4" s="79"/>
      <c r="U4" s="19"/>
      <c r="V4" s="67"/>
      <c r="W4" s="19"/>
      <c r="X4" s="4" t="s">
        <v>15</v>
      </c>
      <c r="Y4" s="4" t="s">
        <v>0</v>
      </c>
      <c r="Z4" s="4" t="s">
        <v>1</v>
      </c>
      <c r="AA4" s="4" t="s">
        <v>2</v>
      </c>
      <c r="AB4" s="4" t="s">
        <v>11</v>
      </c>
      <c r="AC4" s="4" t="s">
        <v>12</v>
      </c>
      <c r="AD4" s="4" t="s">
        <v>13</v>
      </c>
      <c r="AE4" s="4" t="s">
        <v>14</v>
      </c>
      <c r="AF4" s="19"/>
      <c r="AG4" s="136" t="s">
        <v>122</v>
      </c>
      <c r="AH4" s="166" t="s">
        <v>123</v>
      </c>
      <c r="AI4" s="19"/>
      <c r="AJ4" s="19"/>
      <c r="AK4" s="4" t="s">
        <v>0</v>
      </c>
      <c r="AL4" s="4" t="s">
        <v>1</v>
      </c>
      <c r="AM4" s="4" t="s">
        <v>2</v>
      </c>
      <c r="AN4" s="4" t="s">
        <v>11</v>
      </c>
      <c r="AO4" s="4" t="s">
        <v>12</v>
      </c>
      <c r="AP4" s="4" t="s">
        <v>13</v>
      </c>
      <c r="AQ4" s="4" t="s">
        <v>14</v>
      </c>
      <c r="AR4" s="19"/>
      <c r="AS4" s="82" t="s">
        <v>39</v>
      </c>
      <c r="AT4" s="222" t="s">
        <v>123</v>
      </c>
      <c r="AU4" s="223"/>
      <c r="AV4" s="135" t="s">
        <v>42</v>
      </c>
      <c r="AW4" s="156" t="s">
        <v>38</v>
      </c>
      <c r="AX4" s="134" t="s">
        <v>40</v>
      </c>
      <c r="AY4" s="134" t="s">
        <v>37</v>
      </c>
      <c r="AZ4" s="102"/>
      <c r="BA4" s="134" t="s">
        <v>127</v>
      </c>
      <c r="BB4" s="19"/>
      <c r="BC4" s="7" t="s">
        <v>0</v>
      </c>
      <c r="BD4" s="9" t="s">
        <v>29</v>
      </c>
      <c r="BE4" s="11">
        <v>-1</v>
      </c>
      <c r="BF4" s="7" t="s">
        <v>61</v>
      </c>
      <c r="BG4" s="19"/>
      <c r="BH4" s="93" t="s">
        <v>47</v>
      </c>
      <c r="BI4" s="76" t="s">
        <v>44</v>
      </c>
      <c r="BJ4" s="76" t="s">
        <v>48</v>
      </c>
      <c r="BK4" s="24"/>
      <c r="BL4" s="24"/>
      <c r="BM4" s="24"/>
      <c r="BN4" s="24"/>
      <c r="BO4" s="24"/>
      <c r="BP4" s="24"/>
      <c r="BQ4" s="24"/>
      <c r="BR4" s="23"/>
      <c r="BS4" s="25">
        <f>$AV$6</f>
        <v>0.78750000000000009</v>
      </c>
      <c r="BT4" s="23" t="s">
        <v>44</v>
      </c>
      <c r="BU4" s="25">
        <f>$BE$4</f>
        <v>-1</v>
      </c>
      <c r="BV4" s="27" t="s">
        <v>45</v>
      </c>
      <c r="BW4" s="1">
        <f>BS4*BU4*$AZ6</f>
        <v>-0.78750000000000009</v>
      </c>
      <c r="BX4" s="19"/>
    </row>
    <row r="5" spans="1:88" ht="15" customHeight="1" x14ac:dyDescent="0.35">
      <c r="A5" s="19"/>
      <c r="B5" s="7" t="s">
        <v>0</v>
      </c>
      <c r="C5" s="179" t="s">
        <v>96</v>
      </c>
      <c r="D5" s="179"/>
      <c r="E5" s="179" t="s">
        <v>29</v>
      </c>
      <c r="F5" s="179" t="s">
        <v>98</v>
      </c>
      <c r="G5" s="179" t="s">
        <v>97</v>
      </c>
      <c r="H5" s="19"/>
      <c r="I5" s="67"/>
      <c r="J5" s="19"/>
      <c r="K5" s="211" t="str">
        <f>B6</f>
        <v>B</v>
      </c>
      <c r="L5" s="212"/>
      <c r="M5" s="37"/>
      <c r="N5" s="37" t="str">
        <f>F7</f>
        <v>schneller</v>
      </c>
      <c r="O5" s="37"/>
      <c r="P5" s="38" t="s">
        <v>68</v>
      </c>
      <c r="Q5" s="36"/>
      <c r="R5" s="37" t="str">
        <f>G7</f>
        <v>wie bisher</v>
      </c>
      <c r="S5" s="39"/>
      <c r="T5" s="38" t="s">
        <v>69</v>
      </c>
      <c r="U5" s="19"/>
      <c r="V5" s="67"/>
      <c r="W5" s="19"/>
      <c r="X5" s="83">
        <v>1</v>
      </c>
      <c r="Y5" s="83">
        <f>-1</f>
        <v>-1</v>
      </c>
      <c r="Z5" s="83">
        <f>-1</f>
        <v>-1</v>
      </c>
      <c r="AA5" s="83">
        <f>Y5*Z5</f>
        <v>1</v>
      </c>
      <c r="AB5" s="83">
        <f>-1</f>
        <v>-1</v>
      </c>
      <c r="AC5" s="83">
        <f>PRODUCT(Y5,AB5)</f>
        <v>1</v>
      </c>
      <c r="AD5" s="83">
        <f>PRODUCT(Z5,AB5)</f>
        <v>1</v>
      </c>
      <c r="AE5" s="83">
        <f>PRODUCT(Y5,Z5,AB5)</f>
        <v>-1</v>
      </c>
      <c r="AF5" s="19"/>
      <c r="AG5" s="137" t="s">
        <v>17</v>
      </c>
      <c r="AH5" s="137">
        <f>$N$8</f>
        <v>4.5999999999999996</v>
      </c>
      <c r="AI5" s="19"/>
      <c r="AJ5" s="19"/>
      <c r="AK5" s="5">
        <f t="shared" ref="AK5:AK12" si="0">$Y5*$AH5</f>
        <v>-4.5999999999999996</v>
      </c>
      <c r="AL5" s="5">
        <f t="shared" ref="AL5:AL12" si="1">$Z5*$AH5</f>
        <v>-4.5999999999999996</v>
      </c>
      <c r="AM5" s="5">
        <f t="shared" ref="AM5:AM12" si="2">$AA5*$AH5</f>
        <v>4.5999999999999996</v>
      </c>
      <c r="AN5" s="5">
        <f t="shared" ref="AN5:AN12" si="3">$AB5*$AH5</f>
        <v>-4.5999999999999996</v>
      </c>
      <c r="AO5" s="5">
        <f t="shared" ref="AO5:AO12" si="4">$AC5*$AH5</f>
        <v>4.5999999999999996</v>
      </c>
      <c r="AP5" s="5">
        <f t="shared" ref="AP5:AP12" si="5">$AD5*$AH5</f>
        <v>4.5999999999999996</v>
      </c>
      <c r="AQ5" s="5">
        <f t="shared" ref="AQ5:AQ12" si="6">$AE5*$AH5</f>
        <v>-4.5999999999999996</v>
      </c>
      <c r="AR5" s="19"/>
      <c r="AS5" s="167"/>
      <c r="AT5" s="224"/>
      <c r="AU5" s="225"/>
      <c r="AV5" s="168">
        <f>AH13</f>
        <v>7.2624999999999993</v>
      </c>
      <c r="AW5" s="167"/>
      <c r="AX5" s="167"/>
      <c r="AY5" s="169"/>
      <c r="AZ5" s="51"/>
      <c r="BA5" s="51"/>
      <c r="BB5" s="19"/>
      <c r="BC5" s="7" t="s">
        <v>1</v>
      </c>
      <c r="BD5" s="9" t="s">
        <v>29</v>
      </c>
      <c r="BE5" s="11">
        <v>-1</v>
      </c>
      <c r="BF5" s="7" t="s">
        <v>62</v>
      </c>
      <c r="BG5" s="19"/>
      <c r="BH5" s="90" t="s">
        <v>49</v>
      </c>
      <c r="BI5" s="76" t="s">
        <v>44</v>
      </c>
      <c r="BJ5" s="76" t="s">
        <v>56</v>
      </c>
      <c r="BK5" s="24"/>
      <c r="BL5" s="24"/>
      <c r="BM5" s="24"/>
      <c r="BN5" s="24"/>
      <c r="BO5" s="24"/>
      <c r="BP5" s="24"/>
      <c r="BQ5" s="24"/>
      <c r="BR5" s="23"/>
      <c r="BS5" s="25">
        <f>$AV$7</f>
        <v>1.6875</v>
      </c>
      <c r="BT5" s="23" t="s">
        <v>44</v>
      </c>
      <c r="BU5" s="25">
        <f>$BE$5</f>
        <v>-1</v>
      </c>
      <c r="BV5" s="27" t="s">
        <v>45</v>
      </c>
      <c r="BW5" s="1">
        <f>BS5*BU5*$AZ7</f>
        <v>-1.6875</v>
      </c>
      <c r="BX5" s="19"/>
    </row>
    <row r="6" spans="1:88" ht="18" customHeight="1" x14ac:dyDescent="0.35">
      <c r="A6" s="19"/>
      <c r="B6" s="7" t="s">
        <v>1</v>
      </c>
      <c r="C6" s="179" t="s">
        <v>99</v>
      </c>
      <c r="D6" s="179"/>
      <c r="E6" s="179" t="s">
        <v>29</v>
      </c>
      <c r="F6" s="179" t="s">
        <v>120</v>
      </c>
      <c r="G6" s="179" t="s">
        <v>97</v>
      </c>
      <c r="H6" s="19"/>
      <c r="I6" s="67"/>
      <c r="J6" s="19"/>
      <c r="K6" s="211" t="str">
        <f>C6</f>
        <v>Parallelarbeit</v>
      </c>
      <c r="L6" s="212"/>
      <c r="M6" s="34"/>
      <c r="N6" s="76" t="str">
        <f>B5</f>
        <v>A</v>
      </c>
      <c r="O6" s="34"/>
      <c r="P6" s="34" t="str">
        <f>C5</f>
        <v xml:space="preserve">Schnittstellen </v>
      </c>
      <c r="Q6" s="34"/>
      <c r="R6" s="34"/>
      <c r="S6" s="34"/>
      <c r="T6" s="35"/>
      <c r="U6" s="19"/>
      <c r="V6" s="67"/>
      <c r="W6" s="19"/>
      <c r="X6" s="83">
        <v>1</v>
      </c>
      <c r="Y6" s="83">
        <v>1</v>
      </c>
      <c r="Z6" s="83">
        <f>-1</f>
        <v>-1</v>
      </c>
      <c r="AA6" s="83">
        <f t="shared" ref="AA6:AA11" si="7">PRODUCT(Y6:Z6)</f>
        <v>-1</v>
      </c>
      <c r="AB6" s="83">
        <f>-1</f>
        <v>-1</v>
      </c>
      <c r="AC6" s="83">
        <f t="shared" ref="AC6:AC12" si="8">PRODUCT(Y6,AB6)</f>
        <v>-1</v>
      </c>
      <c r="AD6" s="83">
        <f t="shared" ref="AD6:AD12" si="9">PRODUCT(Z6,AB6)</f>
        <v>1</v>
      </c>
      <c r="AE6" s="83">
        <f t="shared" ref="AE6:AE12" si="10">PRODUCT(Y6,Z6,AB6)</f>
        <v>1</v>
      </c>
      <c r="AF6" s="19"/>
      <c r="AG6" s="137" t="s">
        <v>3</v>
      </c>
      <c r="AH6" s="137">
        <f>$P$8</f>
        <v>6.2</v>
      </c>
      <c r="AI6" s="19"/>
      <c r="AJ6" s="19"/>
      <c r="AK6" s="5">
        <f t="shared" si="0"/>
        <v>6.2</v>
      </c>
      <c r="AL6" s="5">
        <f t="shared" si="1"/>
        <v>-6.2</v>
      </c>
      <c r="AM6" s="5">
        <f t="shared" si="2"/>
        <v>-6.2</v>
      </c>
      <c r="AN6" s="5">
        <f t="shared" si="3"/>
        <v>-6.2</v>
      </c>
      <c r="AO6" s="5">
        <f t="shared" si="4"/>
        <v>-6.2</v>
      </c>
      <c r="AP6" s="5">
        <f t="shared" si="5"/>
        <v>6.2</v>
      </c>
      <c r="AQ6" s="5">
        <f t="shared" si="6"/>
        <v>6.2</v>
      </c>
      <c r="AR6" s="19"/>
      <c r="AS6" s="169" t="s">
        <v>0</v>
      </c>
      <c r="AT6" s="226">
        <f>AK13</f>
        <v>1.5750000000000002</v>
      </c>
      <c r="AU6" s="227"/>
      <c r="AV6" s="170">
        <f t="shared" ref="AV6:AV12" si="11">AT6/2</f>
        <v>0.78750000000000009</v>
      </c>
      <c r="AW6" s="171">
        <f t="shared" ref="AW6:AW12" si="12">2*AT6^2</f>
        <v>4.9612500000000015</v>
      </c>
      <c r="AX6" s="172">
        <f>AW6/$AX$14</f>
        <v>158.76000000000033</v>
      </c>
      <c r="AY6" s="169" t="str">
        <f>IF($AX6&gt;$AX$18,"signifikant","")</f>
        <v>signifikant</v>
      </c>
      <c r="AZ6" s="5">
        <f>IF($AX6&gt;$AX$18,1,0)</f>
        <v>1</v>
      </c>
      <c r="BA6" s="186">
        <f>FDIST(AX6,1,$AV$15)</f>
        <v>2.2837509335887107E-4</v>
      </c>
      <c r="BB6" s="19"/>
      <c r="BC6" s="7" t="s">
        <v>25</v>
      </c>
      <c r="BD6" s="9" t="s">
        <v>29</v>
      </c>
      <c r="BE6" s="11">
        <v>-1</v>
      </c>
      <c r="BF6" s="7" t="s">
        <v>63</v>
      </c>
      <c r="BG6" s="19"/>
      <c r="BH6" s="90" t="s">
        <v>50</v>
      </c>
      <c r="BI6" s="76" t="s">
        <v>44</v>
      </c>
      <c r="BJ6" s="76" t="s">
        <v>57</v>
      </c>
      <c r="BK6" s="91" t="s">
        <v>44</v>
      </c>
      <c r="BL6" s="91" t="s">
        <v>56</v>
      </c>
      <c r="BM6" s="24"/>
      <c r="BN6" s="24"/>
      <c r="BO6" s="24"/>
      <c r="BP6" s="24"/>
      <c r="BQ6" s="24">
        <f>$AV$8</f>
        <v>6.2499999999999778E-2</v>
      </c>
      <c r="BR6" s="23" t="s">
        <v>44</v>
      </c>
      <c r="BS6" s="25">
        <f>$BE$4</f>
        <v>-1</v>
      </c>
      <c r="BT6" s="23" t="s">
        <v>44</v>
      </c>
      <c r="BU6" s="25">
        <f>$BE$5</f>
        <v>-1</v>
      </c>
      <c r="BV6" s="27" t="s">
        <v>45</v>
      </c>
      <c r="BW6" s="1">
        <f>BQ6*BS6*BU6*$AZ8</f>
        <v>0</v>
      </c>
      <c r="BX6" s="19"/>
    </row>
    <row r="7" spans="1:88" ht="18" x14ac:dyDescent="0.35">
      <c r="A7" s="19"/>
      <c r="B7" s="7" t="s">
        <v>25</v>
      </c>
      <c r="C7" s="179" t="s">
        <v>100</v>
      </c>
      <c r="D7" s="179"/>
      <c r="E7" s="179" t="s">
        <v>29</v>
      </c>
      <c r="F7" s="179" t="s">
        <v>121</v>
      </c>
      <c r="G7" s="179" t="s">
        <v>97</v>
      </c>
      <c r="H7" s="19"/>
      <c r="I7" s="67"/>
      <c r="J7" s="19"/>
      <c r="K7" s="74"/>
      <c r="L7" s="75"/>
      <c r="M7" s="42" t="str">
        <f>F5</f>
        <v>reduziert</v>
      </c>
      <c r="N7" s="40" t="s">
        <v>68</v>
      </c>
      <c r="O7" s="41" t="str">
        <f>G5</f>
        <v>wie bisher</v>
      </c>
      <c r="P7" s="40" t="s">
        <v>69</v>
      </c>
      <c r="Q7" s="41" t="str">
        <f>F5</f>
        <v>reduziert</v>
      </c>
      <c r="R7" s="40" t="s">
        <v>68</v>
      </c>
      <c r="S7" s="36" t="str">
        <f>G5</f>
        <v>wie bisher</v>
      </c>
      <c r="T7" s="40" t="s">
        <v>69</v>
      </c>
      <c r="U7" s="19"/>
      <c r="V7" s="67"/>
      <c r="W7" s="19"/>
      <c r="X7" s="83">
        <v>1</v>
      </c>
      <c r="Y7" s="83">
        <f>-1</f>
        <v>-1</v>
      </c>
      <c r="Z7" s="83">
        <v>1</v>
      </c>
      <c r="AA7" s="83">
        <f t="shared" si="7"/>
        <v>-1</v>
      </c>
      <c r="AB7" s="83">
        <f>-1</f>
        <v>-1</v>
      </c>
      <c r="AC7" s="83">
        <f t="shared" si="8"/>
        <v>1</v>
      </c>
      <c r="AD7" s="83">
        <f t="shared" si="9"/>
        <v>-1</v>
      </c>
      <c r="AE7" s="83">
        <f t="shared" si="10"/>
        <v>1</v>
      </c>
      <c r="AF7" s="19"/>
      <c r="AG7" s="137" t="s">
        <v>4</v>
      </c>
      <c r="AH7" s="137">
        <f>$N$9</f>
        <v>7.8</v>
      </c>
      <c r="AI7" s="19"/>
      <c r="AJ7" s="19"/>
      <c r="AK7" s="5">
        <f t="shared" si="0"/>
        <v>-7.8</v>
      </c>
      <c r="AL7" s="5">
        <f t="shared" si="1"/>
        <v>7.8</v>
      </c>
      <c r="AM7" s="5">
        <f t="shared" si="2"/>
        <v>-7.8</v>
      </c>
      <c r="AN7" s="5">
        <f t="shared" si="3"/>
        <v>-7.8</v>
      </c>
      <c r="AO7" s="5">
        <f t="shared" si="4"/>
        <v>7.8</v>
      </c>
      <c r="AP7" s="5">
        <f t="shared" si="5"/>
        <v>-7.8</v>
      </c>
      <c r="AQ7" s="5">
        <f t="shared" si="6"/>
        <v>7.8</v>
      </c>
      <c r="AR7" s="19"/>
      <c r="AS7" s="173" t="s">
        <v>1</v>
      </c>
      <c r="AT7" s="226">
        <f>AL13</f>
        <v>3.375</v>
      </c>
      <c r="AU7" s="227"/>
      <c r="AV7" s="170">
        <f t="shared" si="11"/>
        <v>1.6875</v>
      </c>
      <c r="AW7" s="174">
        <f t="shared" si="12"/>
        <v>22.78125</v>
      </c>
      <c r="AX7" s="172">
        <f t="shared" ref="AX7:AX12" si="13">AW7/$AX$14</f>
        <v>729.00000000000125</v>
      </c>
      <c r="AY7" s="169" t="str">
        <f t="shared" ref="AY7:AY12" si="14">IF($AX7&gt;$AX$18,"signifikant","")</f>
        <v>signifikant</v>
      </c>
      <c r="AZ7" s="5">
        <f t="shared" ref="AZ7:AZ12" si="15">IF($AX7&gt;$AX$18,1,0)</f>
        <v>1</v>
      </c>
      <c r="BA7" s="186">
        <f t="shared" ref="BA7:BA12" si="16">FDIST(AX7,1,$AV$15)</f>
        <v>1.118755023038115E-5</v>
      </c>
      <c r="BB7" s="19"/>
      <c r="BC7" s="19"/>
      <c r="BD7" s="19"/>
      <c r="BE7" s="19"/>
      <c r="BF7" s="19"/>
      <c r="BG7" s="19"/>
      <c r="BH7" s="90" t="s">
        <v>51</v>
      </c>
      <c r="BI7" s="76" t="s">
        <v>44</v>
      </c>
      <c r="BJ7" s="76" t="s">
        <v>59</v>
      </c>
      <c r="BK7" s="24"/>
      <c r="BL7" s="24"/>
      <c r="BM7" s="24"/>
      <c r="BN7" s="24"/>
      <c r="BO7" s="24"/>
      <c r="BP7" s="24"/>
      <c r="BQ7" s="24"/>
      <c r="BR7" s="23"/>
      <c r="BS7" s="25">
        <f>$AV$9</f>
        <v>0.26249999999999996</v>
      </c>
      <c r="BT7" s="23" t="s">
        <v>44</v>
      </c>
      <c r="BU7" s="25">
        <f>$BE$6</f>
        <v>-1</v>
      </c>
      <c r="BV7" s="27" t="s">
        <v>45</v>
      </c>
      <c r="BW7" s="1">
        <f>BS7*BU7*$AZ9</f>
        <v>-0.26249999999999996</v>
      </c>
      <c r="BX7" s="19"/>
    </row>
    <row r="8" spans="1:88" ht="18" x14ac:dyDescent="0.35">
      <c r="A8" s="19"/>
      <c r="B8" s="19"/>
      <c r="C8" s="19"/>
      <c r="D8" s="19"/>
      <c r="E8" s="19"/>
      <c r="F8" s="19"/>
      <c r="G8" s="19"/>
      <c r="H8" s="19"/>
      <c r="I8" s="39"/>
      <c r="J8" s="19"/>
      <c r="K8" s="44" t="str">
        <f>F6</f>
        <v>vermehrt</v>
      </c>
      <c r="L8" s="43" t="s">
        <v>68</v>
      </c>
      <c r="M8" s="138" t="s">
        <v>17</v>
      </c>
      <c r="N8" s="180">
        <v>4.5999999999999996</v>
      </c>
      <c r="O8" s="138" t="s">
        <v>3</v>
      </c>
      <c r="P8" s="180">
        <v>6.2</v>
      </c>
      <c r="Q8" s="138" t="s">
        <v>7</v>
      </c>
      <c r="R8" s="180">
        <v>5.0999999999999996</v>
      </c>
      <c r="S8" s="138" t="s">
        <v>8</v>
      </c>
      <c r="T8" s="180">
        <v>6.4</v>
      </c>
      <c r="U8" s="19"/>
      <c r="V8" s="39"/>
      <c r="W8" s="19"/>
      <c r="X8" s="83">
        <v>1</v>
      </c>
      <c r="Y8" s="83">
        <v>1</v>
      </c>
      <c r="Z8" s="83">
        <v>1</v>
      </c>
      <c r="AA8" s="83">
        <f>PRODUCT(X8:Z8)</f>
        <v>1</v>
      </c>
      <c r="AB8" s="84">
        <f>-1</f>
        <v>-1</v>
      </c>
      <c r="AC8" s="83">
        <f t="shared" si="8"/>
        <v>-1</v>
      </c>
      <c r="AD8" s="83">
        <f t="shared" si="9"/>
        <v>-1</v>
      </c>
      <c r="AE8" s="83">
        <f t="shared" si="10"/>
        <v>-1</v>
      </c>
      <c r="AF8" s="19"/>
      <c r="AG8" s="137" t="s">
        <v>5</v>
      </c>
      <c r="AH8" s="137">
        <f>$P$9</f>
        <v>9.4</v>
      </c>
      <c r="AI8" s="19"/>
      <c r="AJ8" s="19"/>
      <c r="AK8" s="5">
        <f t="shared" si="0"/>
        <v>9.4</v>
      </c>
      <c r="AL8" s="5">
        <f t="shared" si="1"/>
        <v>9.4</v>
      </c>
      <c r="AM8" s="5">
        <f t="shared" si="2"/>
        <v>9.4</v>
      </c>
      <c r="AN8" s="5">
        <f t="shared" si="3"/>
        <v>-9.4</v>
      </c>
      <c r="AO8" s="5">
        <f t="shared" si="4"/>
        <v>-9.4</v>
      </c>
      <c r="AP8" s="5">
        <f t="shared" si="5"/>
        <v>-9.4</v>
      </c>
      <c r="AQ8" s="5">
        <f t="shared" si="6"/>
        <v>-9.4</v>
      </c>
      <c r="AR8" s="19"/>
      <c r="AS8" s="173" t="s">
        <v>2</v>
      </c>
      <c r="AT8" s="226">
        <f>AM13</f>
        <v>0.12499999999999956</v>
      </c>
      <c r="AU8" s="227"/>
      <c r="AV8" s="170">
        <f t="shared" si="11"/>
        <v>6.2499999999999778E-2</v>
      </c>
      <c r="AW8" s="174">
        <f t="shared" si="12"/>
        <v>3.1249999999999778E-2</v>
      </c>
      <c r="AX8" s="172">
        <f t="shared" si="13"/>
        <v>0.99999999999999467</v>
      </c>
      <c r="AY8" s="169" t="str">
        <f t="shared" si="14"/>
        <v/>
      </c>
      <c r="AZ8" s="5">
        <f t="shared" si="15"/>
        <v>0</v>
      </c>
      <c r="BA8" s="186">
        <f t="shared" si="16"/>
        <v>0.37390096630005992</v>
      </c>
      <c r="BB8" s="19"/>
      <c r="BC8" s="19"/>
      <c r="BD8" s="55" t="s">
        <v>41</v>
      </c>
      <c r="BE8" s="56">
        <f>AVERAGE(AH5:AH12)+AV6*BE4*AZ6+AV7*BE5*AZ7+AV8*BE4*BE5*AZ8+AV9*BE6*AZ9+AV10*BE4*BE6*AZ10+AV11*BE5*BE6*AZ11+AV12*BE4*BE5*BE6*AZ12</f>
        <v>4.5249999999999995</v>
      </c>
      <c r="BF8" s="19"/>
      <c r="BG8" s="19"/>
      <c r="BH8" s="90" t="s">
        <v>52</v>
      </c>
      <c r="BI8" s="76" t="s">
        <v>44</v>
      </c>
      <c r="BJ8" s="76" t="s">
        <v>57</v>
      </c>
      <c r="BK8" s="91" t="s">
        <v>44</v>
      </c>
      <c r="BL8" s="91" t="s">
        <v>59</v>
      </c>
      <c r="BM8" s="24"/>
      <c r="BN8" s="24"/>
      <c r="BO8" s="24"/>
      <c r="BP8" s="24"/>
      <c r="BQ8" s="24">
        <f>$AV$10</f>
        <v>-1.2500000000000178E-2</v>
      </c>
      <c r="BR8" s="23" t="s">
        <v>44</v>
      </c>
      <c r="BS8" s="25">
        <f>$BE$4</f>
        <v>-1</v>
      </c>
      <c r="BT8" s="23" t="s">
        <v>44</v>
      </c>
      <c r="BU8" s="25">
        <f>$BE$6</f>
        <v>-1</v>
      </c>
      <c r="BV8" s="27" t="s">
        <v>45</v>
      </c>
      <c r="BW8" s="1">
        <f>BQ8*BS8*BU8*$AZ10</f>
        <v>0</v>
      </c>
      <c r="BX8" s="19"/>
    </row>
    <row r="9" spans="1:88" ht="18" x14ac:dyDescent="0.35">
      <c r="A9" s="19"/>
      <c r="B9" s="19"/>
      <c r="C9" s="19"/>
      <c r="D9" s="19"/>
      <c r="E9" s="19"/>
      <c r="F9" s="19"/>
      <c r="G9" s="19"/>
      <c r="H9" s="19"/>
      <c r="I9" s="39"/>
      <c r="J9" s="19"/>
      <c r="K9" s="44" t="str">
        <f>G6</f>
        <v>wie bisher</v>
      </c>
      <c r="L9" s="43" t="s">
        <v>69</v>
      </c>
      <c r="M9" s="138" t="s">
        <v>4</v>
      </c>
      <c r="N9" s="180">
        <v>7.8</v>
      </c>
      <c r="O9" s="138" t="s">
        <v>5</v>
      </c>
      <c r="P9" s="180">
        <v>9.4</v>
      </c>
      <c r="Q9" s="138" t="s">
        <v>9</v>
      </c>
      <c r="R9" s="180">
        <v>8.4</v>
      </c>
      <c r="S9" s="138" t="s">
        <v>10</v>
      </c>
      <c r="T9" s="180">
        <v>10.199999999999999</v>
      </c>
      <c r="U9" s="19"/>
      <c r="V9" s="39"/>
      <c r="W9" s="19"/>
      <c r="X9" s="83">
        <v>1</v>
      </c>
      <c r="Y9" s="83">
        <f>-1</f>
        <v>-1</v>
      </c>
      <c r="Z9" s="83">
        <f>-1</f>
        <v>-1</v>
      </c>
      <c r="AA9" s="83">
        <f t="shared" si="7"/>
        <v>1</v>
      </c>
      <c r="AB9" s="84">
        <v>1</v>
      </c>
      <c r="AC9" s="83">
        <f t="shared" si="8"/>
        <v>-1</v>
      </c>
      <c r="AD9" s="83">
        <f t="shared" si="9"/>
        <v>-1</v>
      </c>
      <c r="AE9" s="83">
        <f t="shared" si="10"/>
        <v>1</v>
      </c>
      <c r="AF9" s="19"/>
      <c r="AG9" s="137" t="s">
        <v>7</v>
      </c>
      <c r="AH9" s="137">
        <f>R8</f>
        <v>5.0999999999999996</v>
      </c>
      <c r="AI9" s="19"/>
      <c r="AJ9" s="19"/>
      <c r="AK9" s="5">
        <f t="shared" si="0"/>
        <v>-5.0999999999999996</v>
      </c>
      <c r="AL9" s="5">
        <f t="shared" si="1"/>
        <v>-5.0999999999999996</v>
      </c>
      <c r="AM9" s="5">
        <f t="shared" si="2"/>
        <v>5.0999999999999996</v>
      </c>
      <c r="AN9" s="5">
        <f t="shared" si="3"/>
        <v>5.0999999999999996</v>
      </c>
      <c r="AO9" s="5">
        <f t="shared" si="4"/>
        <v>-5.0999999999999996</v>
      </c>
      <c r="AP9" s="5">
        <f t="shared" si="5"/>
        <v>-5.0999999999999996</v>
      </c>
      <c r="AQ9" s="5">
        <f t="shared" si="6"/>
        <v>5.0999999999999996</v>
      </c>
      <c r="AR9" s="19"/>
      <c r="AS9" s="173" t="s">
        <v>11</v>
      </c>
      <c r="AT9" s="226">
        <f>AN13</f>
        <v>0.52499999999999991</v>
      </c>
      <c r="AU9" s="227"/>
      <c r="AV9" s="170">
        <f t="shared" si="11"/>
        <v>0.26249999999999996</v>
      </c>
      <c r="AW9" s="174">
        <f t="shared" si="12"/>
        <v>0.5512499999999998</v>
      </c>
      <c r="AX9" s="172">
        <f t="shared" si="13"/>
        <v>17.640000000000025</v>
      </c>
      <c r="AY9" s="169" t="str">
        <f t="shared" si="14"/>
        <v>signifikant</v>
      </c>
      <c r="AZ9" s="5">
        <f t="shared" si="15"/>
        <v>1</v>
      </c>
      <c r="BA9" s="186">
        <f t="shared" si="16"/>
        <v>1.3695810305096423E-2</v>
      </c>
      <c r="BB9" s="19"/>
      <c r="BC9" s="19"/>
      <c r="BD9" s="19"/>
      <c r="BE9" s="19"/>
      <c r="BF9" s="19"/>
      <c r="BG9" s="19"/>
      <c r="BH9" s="90" t="s">
        <v>53</v>
      </c>
      <c r="BI9" s="76" t="s">
        <v>44</v>
      </c>
      <c r="BJ9" s="76" t="s">
        <v>55</v>
      </c>
      <c r="BK9" s="91" t="s">
        <v>44</v>
      </c>
      <c r="BL9" s="91" t="s">
        <v>58</v>
      </c>
      <c r="BM9" s="24"/>
      <c r="BN9" s="24"/>
      <c r="BO9" s="24"/>
      <c r="BP9" s="24"/>
      <c r="BQ9" s="24">
        <f>$AV$11</f>
        <v>8.7500000000000133E-2</v>
      </c>
      <c r="BR9" s="23" t="s">
        <v>44</v>
      </c>
      <c r="BS9" s="25">
        <f>$BE$5</f>
        <v>-1</v>
      </c>
      <c r="BT9" s="23" t="s">
        <v>44</v>
      </c>
      <c r="BU9" s="25">
        <f>$BE$6</f>
        <v>-1</v>
      </c>
      <c r="BV9" s="27" t="s">
        <v>45</v>
      </c>
      <c r="BW9" s="1">
        <f>BQ9*BS9*BU9*$AZ11</f>
        <v>0</v>
      </c>
      <c r="BX9" s="19"/>
    </row>
    <row r="10" spans="1:88" ht="18" x14ac:dyDescent="0.35">
      <c r="A10" s="19"/>
      <c r="B10" s="19"/>
      <c r="C10" s="19"/>
      <c r="D10" s="19"/>
      <c r="E10" s="19"/>
      <c r="F10" s="19"/>
      <c r="G10" s="19"/>
      <c r="H10" s="19"/>
      <c r="I10" s="3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9"/>
      <c r="W10" s="19"/>
      <c r="X10" s="83">
        <v>1</v>
      </c>
      <c r="Y10" s="83">
        <v>1</v>
      </c>
      <c r="Z10" s="83">
        <f>-1</f>
        <v>-1</v>
      </c>
      <c r="AA10" s="83">
        <f t="shared" si="7"/>
        <v>-1</v>
      </c>
      <c r="AB10" s="84">
        <v>1</v>
      </c>
      <c r="AC10" s="83">
        <f t="shared" si="8"/>
        <v>1</v>
      </c>
      <c r="AD10" s="83">
        <f t="shared" si="9"/>
        <v>-1</v>
      </c>
      <c r="AE10" s="83">
        <f t="shared" si="10"/>
        <v>-1</v>
      </c>
      <c r="AF10" s="19"/>
      <c r="AG10" s="137" t="s">
        <v>8</v>
      </c>
      <c r="AH10" s="137">
        <f>T8</f>
        <v>6.4</v>
      </c>
      <c r="AI10" s="19"/>
      <c r="AJ10" s="19"/>
      <c r="AK10" s="5">
        <f t="shared" si="0"/>
        <v>6.4</v>
      </c>
      <c r="AL10" s="5">
        <f t="shared" si="1"/>
        <v>-6.4</v>
      </c>
      <c r="AM10" s="5">
        <f t="shared" si="2"/>
        <v>-6.4</v>
      </c>
      <c r="AN10" s="5">
        <f t="shared" si="3"/>
        <v>6.4</v>
      </c>
      <c r="AO10" s="5">
        <f t="shared" si="4"/>
        <v>6.4</v>
      </c>
      <c r="AP10" s="5">
        <f t="shared" si="5"/>
        <v>-6.4</v>
      </c>
      <c r="AQ10" s="5">
        <f t="shared" si="6"/>
        <v>-6.4</v>
      </c>
      <c r="AR10" s="19"/>
      <c r="AS10" s="173" t="s">
        <v>12</v>
      </c>
      <c r="AT10" s="226">
        <f>AO13</f>
        <v>-2.5000000000000355E-2</v>
      </c>
      <c r="AU10" s="227"/>
      <c r="AV10" s="170">
        <f t="shared" si="11"/>
        <v>-1.2500000000000178E-2</v>
      </c>
      <c r="AW10" s="174">
        <f t="shared" si="12"/>
        <v>1.2500000000000356E-3</v>
      </c>
      <c r="AX10" s="172">
        <f t="shared" si="13"/>
        <v>4.0000000000001208E-2</v>
      </c>
      <c r="AY10" s="169" t="str">
        <f t="shared" si="14"/>
        <v/>
      </c>
      <c r="AZ10" s="5">
        <f t="shared" si="15"/>
        <v>0</v>
      </c>
      <c r="BA10" s="186">
        <f t="shared" si="16"/>
        <v>0.85123701413692021</v>
      </c>
      <c r="BB10" s="19"/>
      <c r="BC10" s="19"/>
      <c r="BD10" s="19"/>
      <c r="BE10" s="19"/>
      <c r="BF10" s="19"/>
      <c r="BG10" s="19"/>
      <c r="BH10" s="86" t="s">
        <v>54</v>
      </c>
      <c r="BI10" s="87" t="s">
        <v>44</v>
      </c>
      <c r="BJ10" s="87" t="s">
        <v>57</v>
      </c>
      <c r="BK10" s="92" t="s">
        <v>44</v>
      </c>
      <c r="BL10" s="92" t="s">
        <v>55</v>
      </c>
      <c r="BM10" s="92" t="s">
        <v>44</v>
      </c>
      <c r="BN10" s="92" t="s">
        <v>58</v>
      </c>
      <c r="BO10" s="30">
        <f>$AV$12</f>
        <v>6.2499999999999778E-2</v>
      </c>
      <c r="BP10" s="30" t="s">
        <v>44</v>
      </c>
      <c r="BQ10" s="30">
        <f>$BE$4</f>
        <v>-1</v>
      </c>
      <c r="BR10" s="29" t="s">
        <v>44</v>
      </c>
      <c r="BS10" s="31">
        <f>$BE$5</f>
        <v>-1</v>
      </c>
      <c r="BT10" s="29" t="s">
        <v>44</v>
      </c>
      <c r="BU10" s="25">
        <f>$BE$6</f>
        <v>-1</v>
      </c>
      <c r="BV10" s="27" t="s">
        <v>45</v>
      </c>
      <c r="BW10" s="32">
        <f>BO10*BQ10*BS10*BU10*$AZ12</f>
        <v>0</v>
      </c>
      <c r="BX10" s="19"/>
    </row>
    <row r="11" spans="1:88" x14ac:dyDescent="0.25">
      <c r="A11" s="19"/>
      <c r="B11" s="19"/>
      <c r="C11" s="19"/>
      <c r="D11" s="19"/>
      <c r="E11" s="19"/>
      <c r="F11" s="19"/>
      <c r="G11" s="19"/>
      <c r="H11" s="19"/>
      <c r="I11" s="3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39"/>
      <c r="W11" s="19"/>
      <c r="X11" s="83">
        <v>1</v>
      </c>
      <c r="Y11" s="83">
        <f>-1</f>
        <v>-1</v>
      </c>
      <c r="Z11" s="83">
        <v>1</v>
      </c>
      <c r="AA11" s="83">
        <f t="shared" si="7"/>
        <v>-1</v>
      </c>
      <c r="AB11" s="84">
        <v>1</v>
      </c>
      <c r="AC11" s="83">
        <f t="shared" si="8"/>
        <v>-1</v>
      </c>
      <c r="AD11" s="83">
        <f t="shared" si="9"/>
        <v>1</v>
      </c>
      <c r="AE11" s="83">
        <f t="shared" si="10"/>
        <v>-1</v>
      </c>
      <c r="AF11" s="19"/>
      <c r="AG11" s="137" t="s">
        <v>9</v>
      </c>
      <c r="AH11" s="137">
        <f>$R$9</f>
        <v>8.4</v>
      </c>
      <c r="AI11" s="19"/>
      <c r="AJ11" s="19"/>
      <c r="AK11" s="5">
        <f t="shared" si="0"/>
        <v>-8.4</v>
      </c>
      <c r="AL11" s="5">
        <f t="shared" si="1"/>
        <v>8.4</v>
      </c>
      <c r="AM11" s="5">
        <f t="shared" si="2"/>
        <v>-8.4</v>
      </c>
      <c r="AN11" s="5">
        <f t="shared" si="3"/>
        <v>8.4</v>
      </c>
      <c r="AO11" s="5">
        <f t="shared" si="4"/>
        <v>-8.4</v>
      </c>
      <c r="AP11" s="5">
        <f t="shared" si="5"/>
        <v>8.4</v>
      </c>
      <c r="AQ11" s="5">
        <f t="shared" si="6"/>
        <v>-8.4</v>
      </c>
      <c r="AR11" s="19"/>
      <c r="AS11" s="173" t="s">
        <v>13</v>
      </c>
      <c r="AT11" s="226">
        <f>AP13</f>
        <v>0.17500000000000027</v>
      </c>
      <c r="AU11" s="227"/>
      <c r="AV11" s="170">
        <f t="shared" si="11"/>
        <v>8.7500000000000133E-2</v>
      </c>
      <c r="AW11" s="174">
        <f t="shared" si="12"/>
        <v>6.1250000000000186E-2</v>
      </c>
      <c r="AX11" s="172">
        <f t="shared" si="13"/>
        <v>1.9600000000000095</v>
      </c>
      <c r="AY11" s="169" t="str">
        <f t="shared" si="14"/>
        <v/>
      </c>
      <c r="AZ11" s="5">
        <f t="shared" si="15"/>
        <v>0</v>
      </c>
      <c r="BA11" s="186">
        <f t="shared" si="16"/>
        <v>0.23410062732682893</v>
      </c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28" t="s">
        <v>46</v>
      </c>
      <c r="BV11" s="57" t="s">
        <v>45</v>
      </c>
      <c r="BW11" s="94">
        <f>SUM(BW3:BW10)</f>
        <v>4.5249999999999995</v>
      </c>
      <c r="BX11" s="19"/>
    </row>
    <row r="12" spans="1:88" x14ac:dyDescent="0.25">
      <c r="A12" s="19"/>
      <c r="B12" s="19"/>
      <c r="C12" s="19"/>
      <c r="D12" s="19"/>
      <c r="E12" s="19"/>
      <c r="F12" s="19"/>
      <c r="G12" s="19"/>
      <c r="H12" s="19"/>
      <c r="I12" s="3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9"/>
      <c r="W12" s="19"/>
      <c r="X12" s="83">
        <v>1</v>
      </c>
      <c r="Y12" s="83">
        <v>1</v>
      </c>
      <c r="Z12" s="83">
        <v>1</v>
      </c>
      <c r="AA12" s="83">
        <f>PRODUCT(X12:Z12)</f>
        <v>1</v>
      </c>
      <c r="AB12" s="84">
        <v>1</v>
      </c>
      <c r="AC12" s="83">
        <f t="shared" si="8"/>
        <v>1</v>
      </c>
      <c r="AD12" s="83">
        <f t="shared" si="9"/>
        <v>1</v>
      </c>
      <c r="AE12" s="83">
        <f t="shared" si="10"/>
        <v>1</v>
      </c>
      <c r="AF12" s="19"/>
      <c r="AG12" s="137" t="s">
        <v>10</v>
      </c>
      <c r="AH12" s="137">
        <f>$T$9</f>
        <v>10.199999999999999</v>
      </c>
      <c r="AI12" s="19"/>
      <c r="AJ12" s="19"/>
      <c r="AK12" s="5">
        <f t="shared" si="0"/>
        <v>10.199999999999999</v>
      </c>
      <c r="AL12" s="5">
        <f t="shared" si="1"/>
        <v>10.199999999999999</v>
      </c>
      <c r="AM12" s="5">
        <f t="shared" si="2"/>
        <v>10.199999999999999</v>
      </c>
      <c r="AN12" s="5">
        <f t="shared" si="3"/>
        <v>10.199999999999999</v>
      </c>
      <c r="AO12" s="5">
        <f t="shared" si="4"/>
        <v>10.199999999999999</v>
      </c>
      <c r="AP12" s="5">
        <f t="shared" si="5"/>
        <v>10.199999999999999</v>
      </c>
      <c r="AQ12" s="5">
        <f t="shared" si="6"/>
        <v>10.199999999999999</v>
      </c>
      <c r="AR12" s="19"/>
      <c r="AS12" s="173" t="s">
        <v>14</v>
      </c>
      <c r="AT12" s="226">
        <f>AQ13</f>
        <v>0.12499999999999956</v>
      </c>
      <c r="AU12" s="227"/>
      <c r="AV12" s="170">
        <f t="shared" si="11"/>
        <v>6.2499999999999778E-2</v>
      </c>
      <c r="AW12" s="174">
        <f t="shared" si="12"/>
        <v>3.1249999999999778E-2</v>
      </c>
      <c r="AX12" s="172">
        <f t="shared" si="13"/>
        <v>0.99999999999999467</v>
      </c>
      <c r="AY12" s="169" t="str">
        <f t="shared" si="14"/>
        <v/>
      </c>
      <c r="AZ12" s="5">
        <f t="shared" si="15"/>
        <v>0</v>
      </c>
      <c r="BA12" s="186">
        <f t="shared" si="16"/>
        <v>0.37390096630005992</v>
      </c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CD12" s="22"/>
      <c r="CJ12" s="22"/>
    </row>
    <row r="13" spans="1:88" ht="15" customHeight="1" x14ac:dyDescent="0.25">
      <c r="A13" s="19"/>
      <c r="B13" s="19"/>
      <c r="C13" s="19"/>
      <c r="D13" s="19"/>
      <c r="E13" s="19"/>
      <c r="F13" s="19"/>
      <c r="G13" s="19"/>
      <c r="H13" s="19"/>
      <c r="I13" s="3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4">
        <f>AVERAGE(AH5:AH12)</f>
        <v>7.2624999999999993</v>
      </c>
      <c r="AI13" s="19"/>
      <c r="AJ13" s="19"/>
      <c r="AK13" s="4">
        <f>SUM(AK5:AK12)/4</f>
        <v>1.5750000000000002</v>
      </c>
      <c r="AL13" s="4">
        <f t="shared" ref="AL13:AQ13" si="17">SUM(AL5:AL12)/4</f>
        <v>3.375</v>
      </c>
      <c r="AM13" s="4">
        <f t="shared" si="17"/>
        <v>0.12499999999999956</v>
      </c>
      <c r="AN13" s="4">
        <f t="shared" si="17"/>
        <v>0.52499999999999991</v>
      </c>
      <c r="AO13" s="4">
        <f t="shared" si="17"/>
        <v>-2.5000000000000355E-2</v>
      </c>
      <c r="AP13" s="4">
        <f t="shared" si="17"/>
        <v>0.17500000000000027</v>
      </c>
      <c r="AQ13" s="4">
        <f t="shared" si="17"/>
        <v>0.12499999999999956</v>
      </c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</row>
    <row r="14" spans="1:88" ht="14.25" customHeight="1" x14ac:dyDescent="0.35">
      <c r="A14" s="19"/>
      <c r="B14" s="19"/>
      <c r="C14" s="19"/>
      <c r="D14" s="19"/>
      <c r="E14" s="19"/>
      <c r="F14" s="19"/>
      <c r="G14" s="19"/>
      <c r="H14" s="19"/>
      <c r="I14" s="3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48" t="s">
        <v>70</v>
      </c>
      <c r="AV14" s="128">
        <f>AW8+AW10+AW11+AW12</f>
        <v>0.12499999999999978</v>
      </c>
      <c r="AW14" s="203" t="s">
        <v>74</v>
      </c>
      <c r="AX14" s="228">
        <f>AV14/AV15</f>
        <v>3.1249999999999944E-2</v>
      </c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</row>
    <row r="15" spans="1:88" ht="15" customHeight="1" x14ac:dyDescent="0.35">
      <c r="AI15" s="19"/>
      <c r="AJ15" s="19"/>
      <c r="AK15" s="193" t="s">
        <v>101</v>
      </c>
      <c r="AL15" s="194"/>
      <c r="AM15" s="194"/>
      <c r="AN15" s="194"/>
      <c r="AO15" s="194"/>
      <c r="AP15" s="194"/>
      <c r="AQ15" s="195"/>
      <c r="AR15" s="19"/>
      <c r="AS15" s="19"/>
      <c r="AT15" s="19"/>
      <c r="AU15" s="48" t="s">
        <v>71</v>
      </c>
      <c r="AV15" s="49">
        <v>4</v>
      </c>
      <c r="AW15" s="204"/>
      <c r="AX15" s="22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</row>
    <row r="16" spans="1:88" x14ac:dyDescent="0.25">
      <c r="AI16" s="19"/>
      <c r="AJ16" s="19"/>
      <c r="AK16" s="4" t="str">
        <f t="shared" ref="AK16:AQ16" si="18">AK4</f>
        <v>A</v>
      </c>
      <c r="AL16" s="4" t="str">
        <f t="shared" si="18"/>
        <v>B</v>
      </c>
      <c r="AM16" s="5" t="str">
        <f t="shared" si="18"/>
        <v>AB</v>
      </c>
      <c r="AN16" s="4" t="str">
        <f t="shared" si="18"/>
        <v xml:space="preserve">C </v>
      </c>
      <c r="AO16" s="5" t="str">
        <f t="shared" si="18"/>
        <v>AC</v>
      </c>
      <c r="AP16" s="5" t="str">
        <f t="shared" si="18"/>
        <v>BC</v>
      </c>
      <c r="AQ16" s="5" t="str">
        <f t="shared" si="18"/>
        <v>ABC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</row>
    <row r="17" spans="24:76" x14ac:dyDescent="0.25">
      <c r="AI17" s="19"/>
      <c r="AJ17" s="19"/>
      <c r="AK17" s="4" t="str">
        <f>C5</f>
        <v xml:space="preserve">Schnittstellen </v>
      </c>
      <c r="AL17" s="4" t="str">
        <f>C6</f>
        <v>Parallelarbeit</v>
      </c>
      <c r="AM17" s="5"/>
      <c r="AN17" s="4" t="str">
        <f>C7</f>
        <v>Lieferantenauswahl</v>
      </c>
      <c r="AO17" s="5"/>
      <c r="AP17" s="5"/>
      <c r="AQ17" s="5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</row>
    <row r="18" spans="24:76" ht="18" x14ac:dyDescent="0.35">
      <c r="AI18" s="19"/>
      <c r="AJ18" s="2">
        <v>-1</v>
      </c>
      <c r="AK18" s="64">
        <f>ABS(SUMIF(AK5:AK12,"&lt;0"))/COUNT(AK5:AK12)*2</f>
        <v>6.4749999999999996</v>
      </c>
      <c r="AL18" s="64">
        <f t="shared" ref="AL18:AQ18" si="19">ABS(SUMIF(AL5:AL12,"&lt;0"))/COUNT(AL5:AL12)*2</f>
        <v>5.5750000000000002</v>
      </c>
      <c r="AM18" s="64">
        <f t="shared" si="19"/>
        <v>7.1999999999999993</v>
      </c>
      <c r="AN18" s="64">
        <f t="shared" si="19"/>
        <v>7</v>
      </c>
      <c r="AO18" s="64">
        <f t="shared" si="19"/>
        <v>7.2750000000000004</v>
      </c>
      <c r="AP18" s="64">
        <f t="shared" si="19"/>
        <v>7.1749999999999989</v>
      </c>
      <c r="AQ18" s="64">
        <f t="shared" si="19"/>
        <v>7.1999999999999993</v>
      </c>
      <c r="AR18" s="19"/>
      <c r="AS18" s="19"/>
      <c r="AT18" s="19"/>
      <c r="AU18" s="46" t="s">
        <v>72</v>
      </c>
      <c r="AV18" s="47">
        <v>0.05</v>
      </c>
      <c r="AW18" s="48" t="s">
        <v>73</v>
      </c>
      <c r="AX18" s="45">
        <f>FINV(AV18,1,$AV$15)</f>
        <v>7.708647422176786</v>
      </c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</row>
    <row r="19" spans="24:76" ht="18" x14ac:dyDescent="0.35">
      <c r="AA19"/>
      <c r="AE19"/>
      <c r="AF19"/>
      <c r="AI19" s="19"/>
      <c r="AJ19" s="2">
        <v>1</v>
      </c>
      <c r="AK19" s="64">
        <f>SUMIF(AK5:AK12,"&gt;0")/COUNT(AK5:AK12)*2</f>
        <v>8.0500000000000007</v>
      </c>
      <c r="AL19" s="64">
        <f t="shared" ref="AL19:AQ19" si="20">SUMIF(AL5:AL12,"&gt;0")/COUNT(AL5:AL12)*2</f>
        <v>8.9499999999999993</v>
      </c>
      <c r="AM19" s="64">
        <f t="shared" si="20"/>
        <v>7.3250000000000002</v>
      </c>
      <c r="AN19" s="64">
        <f t="shared" si="20"/>
        <v>7.5249999999999995</v>
      </c>
      <c r="AO19" s="64">
        <f t="shared" si="20"/>
        <v>7.2499999999999991</v>
      </c>
      <c r="AP19" s="64">
        <f t="shared" si="20"/>
        <v>7.3500000000000005</v>
      </c>
      <c r="AQ19" s="64">
        <f t="shared" si="20"/>
        <v>7.3250000000000002</v>
      </c>
      <c r="AR19" s="19"/>
      <c r="AS19" s="19"/>
      <c r="AT19" s="19"/>
      <c r="AU19" s="46" t="s">
        <v>72</v>
      </c>
      <c r="AV19" s="180">
        <v>0.01</v>
      </c>
      <c r="AW19" s="48" t="s">
        <v>73</v>
      </c>
      <c r="AX19" s="45">
        <f>FINV(AV19,1,$AV$15)</f>
        <v>21.197689584391309</v>
      </c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</row>
    <row r="20" spans="24:76" x14ac:dyDescent="0.25"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</row>
    <row r="21" spans="24:76" x14ac:dyDescent="0.25"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24:76" x14ac:dyDescent="0.25"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24:76" x14ac:dyDescent="0.25"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24:76" x14ac:dyDescent="0.25"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24:76" x14ac:dyDescent="0.25">
      <c r="X25" s="18"/>
      <c r="Y25" s="18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24:76" x14ac:dyDescent="0.25">
      <c r="X26" s="18"/>
      <c r="Y26" s="18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BD26" s="96"/>
    </row>
    <row r="27" spans="24:76" x14ac:dyDescent="0.25">
      <c r="X27" s="18"/>
      <c r="Y27" s="18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24:76" x14ac:dyDescent="0.25">
      <c r="Y28" s="18"/>
      <c r="Z28"/>
      <c r="AI28" s="19"/>
      <c r="AJ28" s="19"/>
      <c r="AK28" s="19"/>
      <c r="AL28" s="19"/>
      <c r="AM28" s="19"/>
      <c r="AN28" s="19"/>
      <c r="AO28" s="19"/>
      <c r="AP28" s="19"/>
      <c r="AQ28" s="19"/>
      <c r="AR28" s="19"/>
    </row>
    <row r="29" spans="24:76" x14ac:dyDescent="0.25"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24:76" x14ac:dyDescent="0.25"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24:76" x14ac:dyDescent="0.25"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24:76" x14ac:dyDescent="0.25"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14:44" x14ac:dyDescent="0.25"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4:44" x14ac:dyDescent="0.25"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4:44" x14ac:dyDescent="0.25"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4:44" x14ac:dyDescent="0.25">
      <c r="P36" s="8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4:44" x14ac:dyDescent="0.25"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4:44" x14ac:dyDescent="0.25">
      <c r="N38" s="8"/>
      <c r="P38" s="10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4:44" ht="33" customHeight="1" x14ac:dyDescent="0.25">
      <c r="N39" s="8"/>
      <c r="P39" s="10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4:44" x14ac:dyDescent="0.25"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14:44" x14ac:dyDescent="0.25">
      <c r="AI41" s="19"/>
      <c r="AJ41" s="19"/>
      <c r="AK41" s="19"/>
      <c r="AL41" s="193" t="s">
        <v>75</v>
      </c>
      <c r="AM41" s="194"/>
      <c r="AN41" s="194"/>
      <c r="AO41" s="195"/>
      <c r="AP41" s="19"/>
      <c r="AQ41" s="19"/>
      <c r="AR41" s="19"/>
    </row>
    <row r="42" spans="14:44" x14ac:dyDescent="0.25">
      <c r="AI42" s="19"/>
      <c r="AJ42" s="19"/>
      <c r="AK42" s="19"/>
      <c r="AL42" s="58" t="s">
        <v>0</v>
      </c>
      <c r="AM42" s="58" t="s">
        <v>1</v>
      </c>
      <c r="AN42" s="193" t="s">
        <v>46</v>
      </c>
      <c r="AO42" s="195"/>
      <c r="AP42" s="19"/>
      <c r="AQ42" s="19"/>
      <c r="AR42" s="19"/>
    </row>
    <row r="43" spans="14:44" ht="21" customHeight="1" x14ac:dyDescent="0.25">
      <c r="AI43" s="19"/>
      <c r="AJ43" s="19"/>
      <c r="AK43" s="59" t="str">
        <f>$C$6</f>
        <v>Parallelarbeit</v>
      </c>
      <c r="AL43" s="89">
        <v>-1</v>
      </c>
      <c r="AM43" s="5">
        <v>-1</v>
      </c>
      <c r="AN43" s="62">
        <f>($AH$5+$AH$9)/2</f>
        <v>4.8499999999999996</v>
      </c>
      <c r="AO43" s="61"/>
      <c r="AP43" s="19"/>
      <c r="AQ43" s="19"/>
      <c r="AR43" s="19"/>
    </row>
    <row r="44" spans="14:44" ht="18" x14ac:dyDescent="0.25">
      <c r="AI44" s="19"/>
      <c r="AJ44" s="19"/>
      <c r="AK44" s="60" t="s">
        <v>83</v>
      </c>
      <c r="AL44" s="89">
        <v>1</v>
      </c>
      <c r="AM44" s="5">
        <v>-1</v>
      </c>
      <c r="AN44" s="62">
        <f>($AH$6+$AH$10)/2</f>
        <v>6.3000000000000007</v>
      </c>
      <c r="AO44" s="61"/>
      <c r="AP44" s="19"/>
      <c r="AQ44" s="19"/>
      <c r="AR44" s="19"/>
    </row>
    <row r="45" spans="14:44" ht="21" customHeight="1" x14ac:dyDescent="0.25">
      <c r="AI45" s="19"/>
      <c r="AJ45" s="19"/>
      <c r="AK45" s="59" t="str">
        <f>C6</f>
        <v>Parallelarbeit</v>
      </c>
      <c r="AL45" s="89">
        <v>-1</v>
      </c>
      <c r="AM45" s="5">
        <v>1</v>
      </c>
      <c r="AN45" s="62">
        <f>($AH$7+$AH$11)/2</f>
        <v>8.1</v>
      </c>
      <c r="AO45" s="61"/>
      <c r="AP45" s="19"/>
      <c r="AQ45" s="19"/>
      <c r="AR45" s="19"/>
    </row>
    <row r="46" spans="14:44" ht="18" x14ac:dyDescent="0.25">
      <c r="AI46" s="19"/>
      <c r="AJ46" s="19"/>
      <c r="AK46" s="60" t="s">
        <v>84</v>
      </c>
      <c r="AL46" s="89">
        <v>1</v>
      </c>
      <c r="AM46" s="5">
        <v>1</v>
      </c>
      <c r="AN46" s="62">
        <f>($AH$8+$AH$12)/2</f>
        <v>9.8000000000000007</v>
      </c>
      <c r="AO46" s="61"/>
      <c r="AP46" s="19"/>
      <c r="AQ46" s="19"/>
      <c r="AR46" s="19"/>
    </row>
    <row r="47" spans="14:44" x14ac:dyDescent="0.25"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4:44" x14ac:dyDescent="0.25"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35:44" x14ac:dyDescent="0.25"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35:44" x14ac:dyDescent="0.25"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35:44" x14ac:dyDescent="0.25"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35:44" x14ac:dyDescent="0.25"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35:44" x14ac:dyDescent="0.25"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35:44" x14ac:dyDescent="0.25"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35:44" x14ac:dyDescent="0.25"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35:44" x14ac:dyDescent="0.25"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35:44" x14ac:dyDescent="0.25"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35:44" x14ac:dyDescent="0.25"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35:44" x14ac:dyDescent="0.25"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35:44" x14ac:dyDescent="0.25"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35:44" x14ac:dyDescent="0.25"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35:44" x14ac:dyDescent="0.25"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35:44" x14ac:dyDescent="0.25"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35:44" ht="51.75" customHeight="1" x14ac:dyDescent="0.25"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35:44" x14ac:dyDescent="0.25"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35:44" x14ac:dyDescent="0.25">
      <c r="AI66" s="19"/>
      <c r="AJ66" s="19"/>
      <c r="AK66" s="19"/>
      <c r="AL66" s="193" t="s">
        <v>76</v>
      </c>
      <c r="AM66" s="194"/>
      <c r="AN66" s="194"/>
      <c r="AO66" s="195"/>
      <c r="AP66" s="19"/>
      <c r="AQ66" s="19"/>
      <c r="AR66" s="19"/>
    </row>
    <row r="67" spans="35:44" x14ac:dyDescent="0.25">
      <c r="AI67" s="19"/>
      <c r="AJ67" s="19"/>
      <c r="AK67" s="19"/>
      <c r="AL67" s="58" t="s">
        <v>0</v>
      </c>
      <c r="AM67" s="58" t="s">
        <v>25</v>
      </c>
      <c r="AN67" s="193" t="s">
        <v>46</v>
      </c>
      <c r="AO67" s="195"/>
      <c r="AP67" s="19"/>
      <c r="AQ67" s="19"/>
      <c r="AR67" s="19"/>
    </row>
    <row r="68" spans="35:44" x14ac:dyDescent="0.25">
      <c r="AI68" s="19"/>
      <c r="AJ68" s="19"/>
      <c r="AK68" s="59" t="str">
        <f>$C$7</f>
        <v>Lieferantenauswahl</v>
      </c>
      <c r="AL68" s="89">
        <v>-1</v>
      </c>
      <c r="AM68" s="5">
        <v>-1</v>
      </c>
      <c r="AN68" s="62">
        <f>($AH$5+$AH$7)/2</f>
        <v>6.1999999999999993</v>
      </c>
      <c r="AO68" s="61"/>
      <c r="AP68" s="19"/>
      <c r="AQ68" s="19"/>
      <c r="AR68" s="19"/>
    </row>
    <row r="69" spans="35:44" ht="18" x14ac:dyDescent="0.25">
      <c r="AI69" s="19"/>
      <c r="AJ69" s="19"/>
      <c r="AK69" s="60" t="s">
        <v>85</v>
      </c>
      <c r="AL69" s="89">
        <v>1</v>
      </c>
      <c r="AM69" s="5">
        <v>-1</v>
      </c>
      <c r="AN69" s="62">
        <f>($AH$6+$AH$8)/2</f>
        <v>7.8000000000000007</v>
      </c>
      <c r="AO69" s="61"/>
      <c r="AP69" s="19"/>
      <c r="AQ69" s="19"/>
      <c r="AR69" s="19"/>
    </row>
    <row r="70" spans="35:44" x14ac:dyDescent="0.25">
      <c r="AI70" s="19"/>
      <c r="AJ70" s="19"/>
      <c r="AK70" s="59" t="str">
        <f>$C$7</f>
        <v>Lieferantenauswahl</v>
      </c>
      <c r="AL70" s="89">
        <v>-1</v>
      </c>
      <c r="AM70" s="5">
        <v>1</v>
      </c>
      <c r="AN70" s="62">
        <f>($AH$9+$AH$11)/2</f>
        <v>6.75</v>
      </c>
      <c r="AO70" s="61"/>
      <c r="AP70" s="19"/>
      <c r="AQ70" s="19"/>
      <c r="AR70" s="19"/>
    </row>
    <row r="71" spans="35:44" ht="18" x14ac:dyDescent="0.25">
      <c r="AI71" s="19"/>
      <c r="AJ71" s="19"/>
      <c r="AK71" s="60" t="s">
        <v>86</v>
      </c>
      <c r="AL71" s="89">
        <v>1</v>
      </c>
      <c r="AM71" s="5">
        <v>1</v>
      </c>
      <c r="AN71" s="62">
        <f>($AH$10+$AH$12)/2</f>
        <v>8.3000000000000007</v>
      </c>
      <c r="AO71" s="61"/>
      <c r="AP71" s="19"/>
      <c r="AQ71" s="19"/>
      <c r="AR71" s="19"/>
    </row>
    <row r="72" spans="35:44" x14ac:dyDescent="0.25"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35:44" x14ac:dyDescent="0.25"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35:44" x14ac:dyDescent="0.25"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35:44" x14ac:dyDescent="0.25"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35:44" x14ac:dyDescent="0.25"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35:44" x14ac:dyDescent="0.25">
      <c r="AI77" s="19"/>
      <c r="AJ77" s="19"/>
      <c r="AK77" s="19"/>
      <c r="AL77" s="19"/>
      <c r="AM77" s="19"/>
      <c r="AN77" s="19"/>
      <c r="AO77" s="19"/>
      <c r="AP77" s="19"/>
      <c r="AQ77" s="19"/>
      <c r="AR77" s="19"/>
    </row>
    <row r="78" spans="35:44" x14ac:dyDescent="0.25">
      <c r="AI78" s="19"/>
      <c r="AJ78" s="19"/>
      <c r="AK78" s="19"/>
      <c r="AL78" s="19"/>
      <c r="AM78" s="19"/>
      <c r="AN78" s="19"/>
      <c r="AO78" s="19"/>
      <c r="AP78" s="19"/>
      <c r="AQ78" s="19"/>
      <c r="AR78" s="19"/>
    </row>
    <row r="79" spans="35:44" x14ac:dyDescent="0.25"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35:44" x14ac:dyDescent="0.25">
      <c r="AI80" s="19"/>
      <c r="AJ80" s="19"/>
      <c r="AK80" s="19"/>
      <c r="AL80" s="19"/>
      <c r="AM80" s="19"/>
      <c r="AN80" s="19"/>
      <c r="AO80" s="19"/>
      <c r="AP80" s="19"/>
      <c r="AQ80" s="19"/>
      <c r="AR80" s="19"/>
    </row>
    <row r="81" spans="35:44" x14ac:dyDescent="0.25"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35:44" x14ac:dyDescent="0.25">
      <c r="AI82" s="19"/>
      <c r="AJ82" s="19"/>
      <c r="AK82" s="19"/>
      <c r="AL82" s="19"/>
      <c r="AM82" s="19"/>
      <c r="AN82" s="19"/>
      <c r="AO82" s="19"/>
      <c r="AP82" s="19"/>
      <c r="AQ82" s="19"/>
      <c r="AR82" s="19"/>
    </row>
    <row r="83" spans="35:44" x14ac:dyDescent="0.25">
      <c r="AI83" s="19"/>
      <c r="AJ83" s="19"/>
      <c r="AK83" s="19"/>
      <c r="AL83" s="19"/>
      <c r="AM83" s="19"/>
      <c r="AN83" s="19"/>
      <c r="AO83" s="19"/>
      <c r="AP83" s="19"/>
      <c r="AQ83" s="19"/>
      <c r="AR83" s="19"/>
    </row>
    <row r="84" spans="35:44" x14ac:dyDescent="0.25">
      <c r="AI84" s="19"/>
      <c r="AJ84" s="19"/>
      <c r="AK84" s="19"/>
      <c r="AL84" s="19"/>
      <c r="AM84" s="19"/>
      <c r="AN84" s="19"/>
      <c r="AO84" s="19"/>
      <c r="AP84" s="19"/>
      <c r="AQ84" s="19"/>
      <c r="AR84" s="19"/>
    </row>
    <row r="85" spans="35:44" x14ac:dyDescent="0.25">
      <c r="AI85" s="19"/>
      <c r="AJ85" s="19"/>
      <c r="AK85" s="19"/>
      <c r="AL85" s="19"/>
      <c r="AM85" s="19"/>
      <c r="AN85" s="19"/>
      <c r="AO85" s="19"/>
      <c r="AP85" s="19"/>
      <c r="AQ85" s="19"/>
      <c r="AR85" s="19"/>
    </row>
    <row r="86" spans="35:44" x14ac:dyDescent="0.25"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35:44" x14ac:dyDescent="0.25">
      <c r="AI87" s="19"/>
      <c r="AJ87" s="19"/>
      <c r="AK87" s="19"/>
      <c r="AL87" s="19"/>
      <c r="AM87" s="19"/>
      <c r="AN87" s="19"/>
      <c r="AO87" s="19"/>
      <c r="AP87" s="19"/>
      <c r="AQ87" s="19"/>
      <c r="AR87" s="19"/>
    </row>
    <row r="88" spans="35:44" x14ac:dyDescent="0.25">
      <c r="AI88" s="19"/>
      <c r="AJ88" s="19"/>
      <c r="AK88" s="19"/>
      <c r="AL88" s="19"/>
      <c r="AM88" s="19"/>
      <c r="AN88" s="19"/>
      <c r="AO88" s="19"/>
      <c r="AP88" s="19"/>
      <c r="AQ88" s="19"/>
      <c r="AR88" s="19"/>
    </row>
    <row r="89" spans="35:44" x14ac:dyDescent="0.25">
      <c r="AI89" s="19"/>
      <c r="AJ89" s="19"/>
      <c r="AK89" s="19"/>
      <c r="AL89" s="19"/>
      <c r="AM89" s="19"/>
      <c r="AN89" s="19"/>
      <c r="AO89" s="19"/>
      <c r="AP89" s="19"/>
      <c r="AQ89" s="19"/>
      <c r="AR89" s="19"/>
    </row>
    <row r="90" spans="35:44" x14ac:dyDescent="0.25">
      <c r="AI90" s="19"/>
      <c r="AJ90" s="19"/>
      <c r="AK90" s="19"/>
      <c r="AL90" s="19"/>
      <c r="AM90" s="19"/>
      <c r="AN90" s="19"/>
      <c r="AO90" s="19"/>
      <c r="AP90" s="19"/>
      <c r="AQ90" s="19"/>
      <c r="AR90" s="19"/>
    </row>
    <row r="91" spans="35:44" x14ac:dyDescent="0.25"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35:44" x14ac:dyDescent="0.25">
      <c r="AI92" s="63"/>
      <c r="AJ92" s="63"/>
      <c r="AK92" s="63"/>
      <c r="AL92" s="63"/>
      <c r="AM92" s="63"/>
      <c r="AN92" s="63"/>
      <c r="AO92" s="63"/>
      <c r="AP92" s="63"/>
      <c r="AQ92" s="63"/>
      <c r="AR92" s="63"/>
    </row>
    <row r="93" spans="35:44" x14ac:dyDescent="0.25">
      <c r="AI93" s="19"/>
      <c r="AJ93" s="19"/>
      <c r="AK93" s="19"/>
      <c r="AL93" s="193" t="s">
        <v>77</v>
      </c>
      <c r="AM93" s="194"/>
      <c r="AN93" s="194"/>
      <c r="AO93" s="195"/>
      <c r="AP93" s="19"/>
      <c r="AQ93" s="19"/>
      <c r="AR93" s="19"/>
    </row>
    <row r="94" spans="35:44" x14ac:dyDescent="0.25">
      <c r="AI94" s="19"/>
      <c r="AJ94" s="19"/>
      <c r="AK94" s="19"/>
      <c r="AL94" s="58" t="s">
        <v>1</v>
      </c>
      <c r="AM94" s="58" t="s">
        <v>25</v>
      </c>
      <c r="AN94" s="193" t="s">
        <v>46</v>
      </c>
      <c r="AO94" s="195"/>
      <c r="AP94" s="19"/>
      <c r="AQ94" s="19"/>
      <c r="AR94" s="19"/>
    </row>
    <row r="95" spans="35:44" x14ac:dyDescent="0.25">
      <c r="AI95" s="19"/>
      <c r="AJ95" s="19"/>
      <c r="AK95" s="59" t="str">
        <f>$C$7</f>
        <v>Lieferantenauswahl</v>
      </c>
      <c r="AL95" s="89">
        <v>-1</v>
      </c>
      <c r="AM95" s="5">
        <v>-1</v>
      </c>
      <c r="AN95" s="62">
        <f>($AH$5+$AH$6)/2</f>
        <v>5.4</v>
      </c>
      <c r="AO95" s="61"/>
      <c r="AP95" s="19"/>
      <c r="AQ95" s="19"/>
      <c r="AR95" s="19"/>
    </row>
    <row r="96" spans="35:44" ht="18" x14ac:dyDescent="0.25">
      <c r="AI96" s="19"/>
      <c r="AJ96" s="19"/>
      <c r="AK96" s="60" t="s">
        <v>85</v>
      </c>
      <c r="AL96" s="89">
        <v>1</v>
      </c>
      <c r="AM96" s="5">
        <v>-1</v>
      </c>
      <c r="AN96" s="62">
        <f>($AH$7+$AH$8)/2</f>
        <v>8.6</v>
      </c>
      <c r="AO96" s="61"/>
      <c r="AP96" s="19"/>
      <c r="AQ96" s="19"/>
      <c r="AR96" s="19"/>
    </row>
    <row r="97" spans="35:44" x14ac:dyDescent="0.25">
      <c r="AI97" s="19"/>
      <c r="AJ97" s="19"/>
      <c r="AK97" s="59" t="str">
        <f>$C$7</f>
        <v>Lieferantenauswahl</v>
      </c>
      <c r="AL97" s="89">
        <v>-1</v>
      </c>
      <c r="AM97" s="5">
        <v>1</v>
      </c>
      <c r="AN97" s="62">
        <f>($AH$9+$AH$10)/2</f>
        <v>5.75</v>
      </c>
      <c r="AO97" s="61"/>
      <c r="AP97" s="19"/>
      <c r="AQ97" s="19"/>
      <c r="AR97" s="19"/>
    </row>
    <row r="98" spans="35:44" ht="18" x14ac:dyDescent="0.25">
      <c r="AI98" s="19"/>
      <c r="AJ98" s="19"/>
      <c r="AK98" s="60" t="s">
        <v>87</v>
      </c>
      <c r="AL98" s="89">
        <v>1</v>
      </c>
      <c r="AM98" s="5">
        <v>1</v>
      </c>
      <c r="AN98" s="62">
        <f>($AH$11+$AH$12)/2</f>
        <v>9.3000000000000007</v>
      </c>
      <c r="AO98" s="61"/>
      <c r="AP98" s="19"/>
      <c r="AQ98" s="19"/>
      <c r="AR98" s="19"/>
    </row>
    <row r="99" spans="35:44" x14ac:dyDescent="0.25">
      <c r="AI99" s="19"/>
      <c r="AJ99" s="19"/>
      <c r="AK99" s="19"/>
      <c r="AL99" s="19"/>
      <c r="AM99" s="19"/>
      <c r="AN99" s="19"/>
      <c r="AO99" s="19"/>
      <c r="AP99" s="19"/>
      <c r="AQ99" s="19"/>
      <c r="AR99" s="19"/>
    </row>
    <row r="100" spans="35:44" x14ac:dyDescent="0.25"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</row>
    <row r="101" spans="35:44" x14ac:dyDescent="0.25"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35:44" x14ac:dyDescent="0.25"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</row>
    <row r="103" spans="35:44" x14ac:dyDescent="0.25"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</row>
    <row r="104" spans="35:44" x14ac:dyDescent="0.25"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</row>
    <row r="105" spans="35:44" x14ac:dyDescent="0.25"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</row>
    <row r="106" spans="35:44" x14ac:dyDescent="0.25"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35:44" x14ac:dyDescent="0.25"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</row>
    <row r="108" spans="35:44" x14ac:dyDescent="0.25"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</row>
    <row r="109" spans="35:44" x14ac:dyDescent="0.25"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  <row r="110" spans="35:44" x14ac:dyDescent="0.25"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</row>
    <row r="111" spans="35:44" x14ac:dyDescent="0.25"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35:44" x14ac:dyDescent="0.25"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</row>
    <row r="113" spans="35:44" x14ac:dyDescent="0.25"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</row>
    <row r="114" spans="35:44" x14ac:dyDescent="0.25"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</row>
    <row r="115" spans="35:44" x14ac:dyDescent="0.25"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</row>
    <row r="116" spans="35:44" x14ac:dyDescent="0.25"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35:44" x14ac:dyDescent="0.25"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  <row r="118" spans="35:44" x14ac:dyDescent="0.25"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</row>
    <row r="119" spans="35:44" x14ac:dyDescent="0.25"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</row>
    <row r="120" spans="35:44" x14ac:dyDescent="0.25"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</row>
    <row r="121" spans="35:44" x14ac:dyDescent="0.25"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35:44" x14ac:dyDescent="0.25"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</row>
    <row r="123" spans="35:44" x14ac:dyDescent="0.25"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</row>
    <row r="124" spans="35:44" x14ac:dyDescent="0.25"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</row>
    <row r="125" spans="35:44" x14ac:dyDescent="0.25"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</row>
    <row r="126" spans="35:44" x14ac:dyDescent="0.25"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</row>
    <row r="127" spans="35:44" x14ac:dyDescent="0.25"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</row>
    <row r="128" spans="35:44" x14ac:dyDescent="0.25"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</row>
    <row r="129" spans="35:44" x14ac:dyDescent="0.25"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</row>
    <row r="130" spans="35:44" x14ac:dyDescent="0.25"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</row>
    <row r="131" spans="35:44" x14ac:dyDescent="0.25"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</row>
    <row r="132" spans="35:44" x14ac:dyDescent="0.25"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</row>
    <row r="133" spans="35:44" x14ac:dyDescent="0.25"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</row>
    <row r="134" spans="35:44" x14ac:dyDescent="0.25"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</row>
    <row r="135" spans="35:44" x14ac:dyDescent="0.25"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</row>
    <row r="136" spans="35:44" x14ac:dyDescent="0.25"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</row>
    <row r="137" spans="35:44" x14ac:dyDescent="0.25"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</row>
    <row r="138" spans="35:44" x14ac:dyDescent="0.25"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</row>
    <row r="139" spans="35:44" x14ac:dyDescent="0.25"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</row>
  </sheetData>
  <mergeCells count="25">
    <mergeCell ref="AW14:AW15"/>
    <mergeCell ref="AX14:AX15"/>
    <mergeCell ref="AK15:AQ15"/>
    <mergeCell ref="AL41:AO41"/>
    <mergeCell ref="AT7:AU7"/>
    <mergeCell ref="AT8:AU8"/>
    <mergeCell ref="AT9:AU9"/>
    <mergeCell ref="AT10:AU10"/>
    <mergeCell ref="AT11:AU11"/>
    <mergeCell ref="AT12:AU12"/>
    <mergeCell ref="D3:E3"/>
    <mergeCell ref="AT4:AU4"/>
    <mergeCell ref="K5:L5"/>
    <mergeCell ref="AT5:AU5"/>
    <mergeCell ref="K6:L6"/>
    <mergeCell ref="AT6:AU6"/>
    <mergeCell ref="X3:AE3"/>
    <mergeCell ref="AK3:AQ3"/>
    <mergeCell ref="AS3:AU3"/>
    <mergeCell ref="F3:G3"/>
    <mergeCell ref="AL93:AO93"/>
    <mergeCell ref="AN94:AO94"/>
    <mergeCell ref="AN42:AO42"/>
    <mergeCell ref="AL66:AO66"/>
    <mergeCell ref="AN67:AO67"/>
  </mergeCells>
  <conditionalFormatting sqref="AZ6:BA6 AY6:AY12 BA7:BA12">
    <cfRule type="cellIs" dxfId="4" priority="2" operator="equal">
      <formula>"signifikant"</formula>
    </cfRule>
  </conditionalFormatting>
  <conditionalFormatting sqref="AZ6:BA12">
    <cfRule type="cellIs" dxfId="3" priority="1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scale="22" orientation="landscape" verticalDpi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C139"/>
  <sheetViews>
    <sheetView tabSelected="1" zoomScaleNormal="100" workbookViewId="0"/>
  </sheetViews>
  <sheetFormatPr baseColWidth="10" defaultRowHeight="15" x14ac:dyDescent="0.25"/>
  <cols>
    <col min="1" max="1" width="4" customWidth="1"/>
    <col min="2" max="2" width="5.28515625" customWidth="1"/>
    <col min="3" max="3" width="21.28515625" customWidth="1"/>
    <col min="4" max="4" width="18" customWidth="1"/>
    <col min="5" max="5" width="15.140625" customWidth="1"/>
    <col min="8" max="8" width="2.42578125" customWidth="1"/>
    <col min="9" max="9" width="1.7109375" customWidth="1"/>
    <col min="10" max="10" width="2.140625" customWidth="1"/>
    <col min="11" max="11" width="6.7109375" customWidth="1"/>
    <col min="13" max="13" width="6.42578125" customWidth="1"/>
    <col min="14" max="14" width="10.140625" customWidth="1"/>
    <col min="15" max="15" width="12.28515625" customWidth="1"/>
    <col min="16" max="16" width="3" customWidth="1"/>
    <col min="17" max="17" width="2.140625" customWidth="1"/>
    <col min="18" max="18" width="9.140625" customWidth="1"/>
    <col min="19" max="19" width="7.42578125" customWidth="1"/>
    <col min="20" max="25" width="6.7109375" style="18" customWidth="1"/>
    <col min="26" max="26" width="6.28515625" style="18" customWidth="1"/>
    <col min="27" max="27" width="10.28515625" customWidth="1"/>
    <col min="28" max="28" width="2.7109375" customWidth="1"/>
    <col min="29" max="29" width="3.28515625" customWidth="1"/>
    <col min="30" max="36" width="12.7109375" customWidth="1"/>
    <col min="37" max="37" width="7.140625" customWidth="1"/>
    <col min="38" max="38" width="9.42578125" customWidth="1"/>
    <col min="39" max="39" width="5.85546875" customWidth="1"/>
    <col min="40" max="40" width="4.140625" customWidth="1"/>
    <col min="41" max="41" width="9.7109375" customWidth="1"/>
    <col min="42" max="42" width="10" customWidth="1"/>
    <col min="43" max="43" width="9.42578125" customWidth="1"/>
    <col min="44" max="44" width="12.28515625" customWidth="1"/>
    <col min="45" max="45" width="16.85546875" customWidth="1"/>
    <col min="46" max="46" width="7.42578125" customWidth="1"/>
    <col min="47" max="47" width="8.7109375" customWidth="1"/>
    <col min="48" max="48" width="3.85546875" customWidth="1"/>
    <col min="50" max="50" width="9.140625" customWidth="1"/>
    <col min="51" max="51" width="5.28515625" customWidth="1"/>
    <col min="52" max="52" width="3.7109375" customWidth="1"/>
    <col min="53" max="53" width="4.28515625" customWidth="1"/>
    <col min="54" max="54" width="2.5703125" customWidth="1"/>
    <col min="55" max="55" width="4.140625" customWidth="1"/>
    <col min="56" max="56" width="2.42578125" customWidth="1"/>
    <col min="57" max="57" width="4.140625" customWidth="1"/>
    <col min="58" max="58" width="2.28515625" customWidth="1"/>
    <col min="59" max="59" width="4" customWidth="1"/>
    <col min="60" max="60" width="8.7109375" customWidth="1"/>
    <col min="61" max="61" width="3.42578125" customWidth="1"/>
    <col min="62" max="62" width="8.7109375" customWidth="1"/>
    <col min="63" max="63" width="4.28515625" customWidth="1"/>
    <col min="64" max="64" width="8.7109375" customWidth="1"/>
    <col min="65" max="65" width="3.42578125" customWidth="1"/>
    <col min="66" max="66" width="8.7109375" customWidth="1"/>
    <col min="67" max="67" width="3.28515625" customWidth="1"/>
    <col min="68" max="68" width="8.7109375" customWidth="1"/>
    <col min="69" max="69" width="4.7109375" customWidth="1"/>
    <col min="81" max="81" width="4.28515625" customWidth="1"/>
  </cols>
  <sheetData>
    <row r="1" spans="1:81" ht="15.75" x14ac:dyDescent="0.25">
      <c r="A1" s="68"/>
      <c r="B1" s="68"/>
      <c r="C1" s="70" t="s">
        <v>79</v>
      </c>
      <c r="D1" s="68"/>
      <c r="E1" s="68"/>
      <c r="F1" s="68"/>
      <c r="G1" s="68"/>
      <c r="H1" s="68"/>
      <c r="I1" s="68"/>
      <c r="J1" s="68"/>
      <c r="K1" s="70" t="s">
        <v>80</v>
      </c>
      <c r="L1" s="68"/>
      <c r="M1" s="68"/>
      <c r="N1" s="68"/>
      <c r="O1" s="68"/>
      <c r="P1" s="39"/>
      <c r="Q1" s="68"/>
      <c r="R1" s="70" t="s">
        <v>81</v>
      </c>
      <c r="S1" s="69"/>
      <c r="T1" s="69"/>
      <c r="U1" s="69"/>
      <c r="V1" s="69"/>
      <c r="W1" s="69"/>
      <c r="X1" s="69"/>
      <c r="Y1" s="69"/>
      <c r="Z1" s="69"/>
      <c r="AA1" s="69"/>
      <c r="AB1" s="69"/>
      <c r="AC1" s="39"/>
      <c r="AD1" s="70"/>
      <c r="AE1" s="70" t="s">
        <v>82</v>
      </c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19"/>
      <c r="BL1" s="19"/>
      <c r="BM1" s="19"/>
      <c r="BN1" s="19"/>
      <c r="BO1" s="19"/>
      <c r="BP1" s="19"/>
      <c r="BQ1" s="19"/>
    </row>
    <row r="2" spans="1:81" x14ac:dyDescent="0.25">
      <c r="A2" s="19"/>
      <c r="B2" s="19"/>
      <c r="C2" s="19"/>
      <c r="D2" s="19"/>
      <c r="E2" s="19"/>
      <c r="F2" s="19"/>
      <c r="G2" s="19"/>
      <c r="H2" s="19"/>
      <c r="I2" s="39"/>
      <c r="J2" s="19"/>
      <c r="K2" s="19"/>
      <c r="L2" s="19"/>
      <c r="M2" s="19"/>
      <c r="N2" s="19"/>
      <c r="O2" s="19"/>
      <c r="P2" s="3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</row>
    <row r="3" spans="1:81" ht="18" customHeight="1" x14ac:dyDescent="0.35">
      <c r="A3" s="19"/>
      <c r="B3" s="19"/>
      <c r="C3" s="98" t="s">
        <v>67</v>
      </c>
      <c r="D3" s="65" t="s">
        <v>126</v>
      </c>
      <c r="E3" s="66" t="s">
        <v>31</v>
      </c>
      <c r="F3" s="209" t="s">
        <v>22</v>
      </c>
      <c r="G3" s="210"/>
      <c r="H3" s="19"/>
      <c r="I3" s="67"/>
      <c r="J3" s="19"/>
      <c r="K3" s="19"/>
      <c r="L3" s="209" t="str">
        <f>CONCATENATE(D3,E3)</f>
        <v>Konzentration in %</v>
      </c>
      <c r="M3" s="198"/>
      <c r="N3" s="210"/>
      <c r="O3" s="19"/>
      <c r="P3" s="67"/>
      <c r="Q3" s="19"/>
      <c r="R3" s="193" t="s">
        <v>16</v>
      </c>
      <c r="S3" s="194"/>
      <c r="T3" s="194"/>
      <c r="U3" s="194"/>
      <c r="V3" s="194"/>
      <c r="W3" s="194"/>
      <c r="X3" s="194"/>
      <c r="Y3" s="195"/>
      <c r="Z3" s="19"/>
      <c r="AA3" s="19"/>
      <c r="AB3" s="19"/>
      <c r="AC3" s="19"/>
      <c r="AD3" s="193" t="s">
        <v>64</v>
      </c>
      <c r="AE3" s="194"/>
      <c r="AF3" s="194"/>
      <c r="AG3" s="194"/>
      <c r="AH3" s="194"/>
      <c r="AI3" s="194"/>
      <c r="AJ3" s="195"/>
      <c r="AK3" s="19"/>
      <c r="AL3" s="209" t="s">
        <v>18</v>
      </c>
      <c r="AM3" s="198"/>
      <c r="AN3" s="102"/>
      <c r="AO3" s="52" t="s">
        <v>36</v>
      </c>
      <c r="AP3" s="19"/>
      <c r="AQ3" s="19"/>
      <c r="AR3" s="19"/>
      <c r="AS3" s="19"/>
      <c r="AT3" s="19"/>
      <c r="AU3" s="19"/>
      <c r="AV3" s="19"/>
      <c r="AW3" s="7" t="s">
        <v>43</v>
      </c>
      <c r="AX3" s="19"/>
      <c r="AY3" s="19"/>
      <c r="AZ3" s="19"/>
      <c r="BA3" s="98" t="s">
        <v>60</v>
      </c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27" t="s">
        <v>45</v>
      </c>
      <c r="BP3" s="11">
        <f>$AO$5</f>
        <v>81.55</v>
      </c>
      <c r="BQ3" s="19"/>
    </row>
    <row r="4" spans="1:81" ht="22.5" customHeight="1" x14ac:dyDescent="0.35">
      <c r="A4" s="19"/>
      <c r="B4" s="19"/>
      <c r="C4" s="7" t="s">
        <v>19</v>
      </c>
      <c r="D4" s="7" t="s">
        <v>21</v>
      </c>
      <c r="E4" s="7" t="s">
        <v>20</v>
      </c>
      <c r="F4" s="7" t="s">
        <v>23</v>
      </c>
      <c r="G4" s="7" t="s">
        <v>24</v>
      </c>
      <c r="H4" s="19"/>
      <c r="I4" s="67"/>
      <c r="J4" s="19"/>
      <c r="K4" s="19"/>
      <c r="L4" s="7" t="s">
        <v>106</v>
      </c>
      <c r="M4" s="7" t="s">
        <v>107</v>
      </c>
      <c r="N4" s="7" t="s">
        <v>108</v>
      </c>
      <c r="O4" s="7" t="s">
        <v>125</v>
      </c>
      <c r="P4" s="67"/>
      <c r="Q4" s="19"/>
      <c r="R4" s="4" t="s">
        <v>15</v>
      </c>
      <c r="S4" s="4" t="s">
        <v>0</v>
      </c>
      <c r="T4" s="4" t="s">
        <v>1</v>
      </c>
      <c r="U4" s="4" t="s">
        <v>2</v>
      </c>
      <c r="V4" s="4" t="s">
        <v>11</v>
      </c>
      <c r="W4" s="4" t="s">
        <v>12</v>
      </c>
      <c r="X4" s="4" t="s">
        <v>13</v>
      </c>
      <c r="Y4" s="4" t="s">
        <v>14</v>
      </c>
      <c r="Z4" s="19"/>
      <c r="AA4" s="2" t="s">
        <v>6</v>
      </c>
      <c r="AB4" s="19"/>
      <c r="AC4" s="19"/>
      <c r="AD4" s="4" t="s">
        <v>0</v>
      </c>
      <c r="AE4" s="4" t="s">
        <v>1</v>
      </c>
      <c r="AF4" s="4" t="s">
        <v>2</v>
      </c>
      <c r="AG4" s="4" t="s">
        <v>11</v>
      </c>
      <c r="AH4" s="4" t="s">
        <v>12</v>
      </c>
      <c r="AI4" s="4" t="s">
        <v>13</v>
      </c>
      <c r="AJ4" s="4" t="s">
        <v>14</v>
      </c>
      <c r="AK4" s="19"/>
      <c r="AL4" s="98" t="s">
        <v>39</v>
      </c>
      <c r="AM4" s="98" t="str">
        <f>D3</f>
        <v xml:space="preserve">Konzentration in </v>
      </c>
      <c r="AN4" s="101" t="str">
        <f>E3</f>
        <v>%</v>
      </c>
      <c r="AO4" s="53" t="s">
        <v>42</v>
      </c>
      <c r="AP4" s="99" t="s">
        <v>38</v>
      </c>
      <c r="AQ4" s="99" t="s">
        <v>109</v>
      </c>
      <c r="AR4" s="7" t="s">
        <v>40</v>
      </c>
      <c r="AS4" s="177" t="s">
        <v>127</v>
      </c>
      <c r="AT4" s="19"/>
      <c r="AU4" s="19"/>
      <c r="AV4" s="7" t="s">
        <v>0</v>
      </c>
      <c r="AW4" s="9">
        <v>3.8</v>
      </c>
      <c r="AX4" s="11">
        <f>(AW4-AVERAGE(F5:G5))/(G5-F5)*2</f>
        <v>0.59999999999999964</v>
      </c>
      <c r="AY4" s="7" t="s">
        <v>61</v>
      </c>
      <c r="AZ4" s="19"/>
      <c r="BA4" s="93" t="s">
        <v>47</v>
      </c>
      <c r="BB4" s="76" t="s">
        <v>44</v>
      </c>
      <c r="BC4" s="76" t="s">
        <v>48</v>
      </c>
      <c r="BD4" s="24"/>
      <c r="BE4" s="24"/>
      <c r="BF4" s="24"/>
      <c r="BG4" s="24"/>
      <c r="BH4" s="24"/>
      <c r="BI4" s="24"/>
      <c r="BJ4" s="24"/>
      <c r="BK4" s="23"/>
      <c r="BL4" s="25">
        <f>$AO$6</f>
        <v>1.5999999999999961</v>
      </c>
      <c r="BM4" s="23" t="s">
        <v>44</v>
      </c>
      <c r="BN4" s="25">
        <f>$AX$4</f>
        <v>0.59999999999999964</v>
      </c>
      <c r="BO4" s="27" t="s">
        <v>45</v>
      </c>
      <c r="BP4" s="11">
        <f t="shared" ref="BP4:BP10" si="0">BL4*BN4*$AT22</f>
        <v>0.95999999999999708</v>
      </c>
      <c r="BQ4" s="19"/>
    </row>
    <row r="5" spans="1:81" ht="15" customHeight="1" x14ac:dyDescent="0.35">
      <c r="A5" s="19"/>
      <c r="B5" s="33" t="s">
        <v>0</v>
      </c>
      <c r="C5" s="3" t="s">
        <v>102</v>
      </c>
      <c r="D5" s="3"/>
      <c r="E5" s="3" t="s">
        <v>28</v>
      </c>
      <c r="F5" s="3">
        <v>3</v>
      </c>
      <c r="G5" s="3">
        <v>4</v>
      </c>
      <c r="H5" s="19"/>
      <c r="I5" s="67"/>
      <c r="J5" s="19"/>
      <c r="K5" s="7" t="s">
        <v>17</v>
      </c>
      <c r="L5" s="103">
        <v>84.15</v>
      </c>
      <c r="M5" s="103">
        <v>81.2</v>
      </c>
      <c r="N5" s="104">
        <f>AVERAGE(L5,M5)</f>
        <v>82.675000000000011</v>
      </c>
      <c r="O5" s="104">
        <f>DEVSQ(L5:M5)</f>
        <v>4.3512500000000083</v>
      </c>
      <c r="P5" s="67"/>
      <c r="Q5" s="19"/>
      <c r="R5" s="83">
        <v>1</v>
      </c>
      <c r="S5" s="83">
        <f>-1</f>
        <v>-1</v>
      </c>
      <c r="T5" s="83">
        <f>-1</f>
        <v>-1</v>
      </c>
      <c r="U5" s="83">
        <f t="shared" ref="U5:U11" si="1">PRODUCT(S5:T5)</f>
        <v>1</v>
      </c>
      <c r="V5" s="83">
        <f>-1</f>
        <v>-1</v>
      </c>
      <c r="W5" s="83">
        <f>PRODUCT(S5,V5)</f>
        <v>1</v>
      </c>
      <c r="X5" s="83">
        <f>PRODUCT(T5,V5)</f>
        <v>1</v>
      </c>
      <c r="Y5" s="83">
        <f>PRODUCT(S5,T5,V5)</f>
        <v>-1</v>
      </c>
      <c r="Z5" s="19"/>
      <c r="AA5" s="104">
        <f t="shared" ref="AA5:AA12" si="2">$N5</f>
        <v>82.675000000000011</v>
      </c>
      <c r="AB5" s="19"/>
      <c r="AC5" s="19"/>
      <c r="AD5" s="5">
        <f t="shared" ref="AD5:AD12" si="3">$S5*$AA5</f>
        <v>-82.675000000000011</v>
      </c>
      <c r="AE5" s="5">
        <f t="shared" ref="AE5:AE12" si="4">$T5*$AA5</f>
        <v>-82.675000000000011</v>
      </c>
      <c r="AF5" s="5">
        <f t="shared" ref="AF5:AF12" si="5">$U5*$AA5</f>
        <v>82.675000000000011</v>
      </c>
      <c r="AG5" s="5">
        <f t="shared" ref="AG5:AG12" si="6">$V5*$AA5</f>
        <v>-82.675000000000011</v>
      </c>
      <c r="AH5" s="5">
        <f t="shared" ref="AH5:AH12" si="7">$W5*$AA5</f>
        <v>82.675000000000011</v>
      </c>
      <c r="AI5" s="5">
        <f t="shared" ref="AI5:AI12" si="8">$X5*$AA5</f>
        <v>82.675000000000011</v>
      </c>
      <c r="AJ5" s="5">
        <f t="shared" ref="AJ5:AJ12" si="9">$Y5*$AA5</f>
        <v>-82.675000000000011</v>
      </c>
      <c r="AK5" s="19"/>
      <c r="AL5" s="1"/>
      <c r="AM5" s="205"/>
      <c r="AN5" s="206"/>
      <c r="AO5" s="54">
        <f>AA13</f>
        <v>81.55</v>
      </c>
      <c r="AP5" s="1"/>
      <c r="AQ5" s="1"/>
      <c r="AR5" s="1"/>
      <c r="AS5" s="184"/>
      <c r="AT5" s="19"/>
      <c r="AU5" s="19"/>
      <c r="AV5" s="7" t="s">
        <v>1</v>
      </c>
      <c r="AW5" s="9">
        <v>112000</v>
      </c>
      <c r="AX5" s="11">
        <f>(AW5-AVERAGE(F6:G6))/(G6-F6)*2</f>
        <v>0.2</v>
      </c>
      <c r="AY5" s="7" t="s">
        <v>62</v>
      </c>
      <c r="AZ5" s="19"/>
      <c r="BA5" s="90" t="s">
        <v>49</v>
      </c>
      <c r="BB5" s="76" t="s">
        <v>44</v>
      </c>
      <c r="BC5" s="76" t="s">
        <v>56</v>
      </c>
      <c r="BD5" s="24"/>
      <c r="BE5" s="24"/>
      <c r="BF5" s="24"/>
      <c r="BG5" s="24"/>
      <c r="BH5" s="24"/>
      <c r="BI5" s="24"/>
      <c r="BJ5" s="24"/>
      <c r="BK5" s="23"/>
      <c r="BL5" s="25">
        <f>$AO$7</f>
        <v>-1.4687500000000036</v>
      </c>
      <c r="BM5" s="23" t="s">
        <v>44</v>
      </c>
      <c r="BN5" s="25">
        <f>$AX$5</f>
        <v>0.2</v>
      </c>
      <c r="BO5" s="27" t="s">
        <v>45</v>
      </c>
      <c r="BP5" s="11">
        <f t="shared" si="0"/>
        <v>-0.29375000000000073</v>
      </c>
      <c r="BQ5" s="19"/>
    </row>
    <row r="6" spans="1:81" ht="18" customHeight="1" x14ac:dyDescent="0.35">
      <c r="A6" s="19"/>
      <c r="B6" s="33" t="s">
        <v>1</v>
      </c>
      <c r="C6" s="3" t="s">
        <v>103</v>
      </c>
      <c r="D6" s="3" t="s">
        <v>104</v>
      </c>
      <c r="E6" s="3" t="s">
        <v>28</v>
      </c>
      <c r="F6" s="109">
        <v>100000</v>
      </c>
      <c r="G6" s="109">
        <v>120000</v>
      </c>
      <c r="H6" s="19"/>
      <c r="I6" s="67"/>
      <c r="J6" s="19"/>
      <c r="K6" s="7" t="s">
        <v>3</v>
      </c>
      <c r="L6" s="103">
        <v>82</v>
      </c>
      <c r="M6" s="103">
        <v>81.599999999999994</v>
      </c>
      <c r="N6" s="104">
        <f t="shared" ref="N6:N12" si="10">AVERAGE(L6,M6)</f>
        <v>81.8</v>
      </c>
      <c r="O6" s="104">
        <f t="shared" ref="O6:O12" si="11">DEVSQ(L6:M6)</f>
        <v>8.0000000000002278E-2</v>
      </c>
      <c r="P6" s="67"/>
      <c r="Q6" s="19"/>
      <c r="R6" s="83">
        <v>1</v>
      </c>
      <c r="S6" s="83">
        <v>1</v>
      </c>
      <c r="T6" s="83">
        <f>-1</f>
        <v>-1</v>
      </c>
      <c r="U6" s="83">
        <f t="shared" si="1"/>
        <v>-1</v>
      </c>
      <c r="V6" s="83">
        <f>-1</f>
        <v>-1</v>
      </c>
      <c r="W6" s="83">
        <f t="shared" ref="W6:W12" si="12">PRODUCT(S6,V6)</f>
        <v>-1</v>
      </c>
      <c r="X6" s="83">
        <f t="shared" ref="X6:X12" si="13">PRODUCT(T6,V6)</f>
        <v>1</v>
      </c>
      <c r="Y6" s="83">
        <f t="shared" ref="Y6:Y12" si="14">PRODUCT(S6,T6,V6)</f>
        <v>1</v>
      </c>
      <c r="Z6" s="19"/>
      <c r="AA6" s="104">
        <f t="shared" si="2"/>
        <v>81.8</v>
      </c>
      <c r="AB6" s="19"/>
      <c r="AC6" s="19"/>
      <c r="AD6" s="5">
        <f t="shared" si="3"/>
        <v>81.8</v>
      </c>
      <c r="AE6" s="5">
        <f t="shared" si="4"/>
        <v>-81.8</v>
      </c>
      <c r="AF6" s="5">
        <f t="shared" si="5"/>
        <v>-81.8</v>
      </c>
      <c r="AG6" s="5">
        <f t="shared" si="6"/>
        <v>-81.8</v>
      </c>
      <c r="AH6" s="5">
        <f t="shared" si="7"/>
        <v>-81.8</v>
      </c>
      <c r="AI6" s="5">
        <f t="shared" si="8"/>
        <v>81.8</v>
      </c>
      <c r="AJ6" s="5">
        <f t="shared" si="9"/>
        <v>81.8</v>
      </c>
      <c r="AK6" s="19"/>
      <c r="AL6" s="5" t="s">
        <v>0</v>
      </c>
      <c r="AM6" s="207">
        <f>AD13</f>
        <v>3.1999999999999922</v>
      </c>
      <c r="AN6" s="208"/>
      <c r="AO6" s="14">
        <f t="shared" ref="AO6:AO12" si="15">AM6/2</f>
        <v>1.5999999999999961</v>
      </c>
      <c r="AP6" s="12">
        <f>4*AM6^2</f>
        <v>40.959999999999802</v>
      </c>
      <c r="AQ6" s="110">
        <v>1</v>
      </c>
      <c r="AR6" s="12">
        <f>AP6/$AR$16</f>
        <v>20.255292845000749</v>
      </c>
      <c r="AS6" s="185">
        <f>FDIST(AR6,1,$AQ$16)</f>
        <v>2.0005364524178842E-3</v>
      </c>
      <c r="AT6" s="19"/>
      <c r="AU6" s="19"/>
      <c r="AV6" s="7" t="s">
        <v>25</v>
      </c>
      <c r="AW6" s="9">
        <v>34</v>
      </c>
      <c r="AX6" s="11">
        <f>(AW6-AVERAGE(F7:G7))/(G7-F7)*2</f>
        <v>-0.2</v>
      </c>
      <c r="AY6" s="7" t="s">
        <v>63</v>
      </c>
      <c r="AZ6" s="19"/>
      <c r="BA6" s="90" t="s">
        <v>50</v>
      </c>
      <c r="BB6" s="76" t="s">
        <v>44</v>
      </c>
      <c r="BC6" s="76" t="s">
        <v>57</v>
      </c>
      <c r="BD6" s="91" t="s">
        <v>44</v>
      </c>
      <c r="BE6" s="91" t="s">
        <v>56</v>
      </c>
      <c r="BF6" s="24"/>
      <c r="BG6" s="24"/>
      <c r="BH6" s="24"/>
      <c r="BI6" s="24"/>
      <c r="BJ6" s="24">
        <f>$AO$8</f>
        <v>1.0187499999999989</v>
      </c>
      <c r="BK6" s="23" t="s">
        <v>44</v>
      </c>
      <c r="BL6" s="25">
        <f>$AX$4</f>
        <v>0.59999999999999964</v>
      </c>
      <c r="BM6" s="23" t="s">
        <v>44</v>
      </c>
      <c r="BN6" s="25">
        <f>$AX$5</f>
        <v>0.2</v>
      </c>
      <c r="BO6" s="27" t="s">
        <v>45</v>
      </c>
      <c r="BP6" s="11">
        <f>BJ6*BL6*BN6*$AT24</f>
        <v>0.1222499999999998</v>
      </c>
      <c r="BQ6" s="19"/>
    </row>
    <row r="7" spans="1:81" ht="18" x14ac:dyDescent="0.35">
      <c r="A7" s="19"/>
      <c r="B7" s="33" t="s">
        <v>25</v>
      </c>
      <c r="C7" s="3" t="s">
        <v>105</v>
      </c>
      <c r="D7" s="3" t="s">
        <v>31</v>
      </c>
      <c r="E7" s="3" t="s">
        <v>28</v>
      </c>
      <c r="F7" s="3">
        <v>30</v>
      </c>
      <c r="G7" s="3">
        <v>40</v>
      </c>
      <c r="H7" s="19"/>
      <c r="I7" s="67"/>
      <c r="J7" s="19"/>
      <c r="K7" s="7" t="s">
        <v>4</v>
      </c>
      <c r="L7" s="103">
        <v>75.5</v>
      </c>
      <c r="M7" s="103">
        <v>77.25</v>
      </c>
      <c r="N7" s="104">
        <f t="shared" si="10"/>
        <v>76.375</v>
      </c>
      <c r="O7" s="104">
        <f t="shared" si="11"/>
        <v>1.53125</v>
      </c>
      <c r="P7" s="67"/>
      <c r="Q7" s="19"/>
      <c r="R7" s="83">
        <v>1</v>
      </c>
      <c r="S7" s="83">
        <f>-1</f>
        <v>-1</v>
      </c>
      <c r="T7" s="83">
        <v>1</v>
      </c>
      <c r="U7" s="83">
        <f t="shared" si="1"/>
        <v>-1</v>
      </c>
      <c r="V7" s="83">
        <f>-1</f>
        <v>-1</v>
      </c>
      <c r="W7" s="83">
        <f t="shared" si="12"/>
        <v>1</v>
      </c>
      <c r="X7" s="83">
        <f t="shared" si="13"/>
        <v>-1</v>
      </c>
      <c r="Y7" s="83">
        <f t="shared" si="14"/>
        <v>1</v>
      </c>
      <c r="Z7" s="19"/>
      <c r="AA7" s="104">
        <f t="shared" si="2"/>
        <v>76.375</v>
      </c>
      <c r="AB7" s="19"/>
      <c r="AC7" s="19"/>
      <c r="AD7" s="5">
        <f t="shared" si="3"/>
        <v>-76.375</v>
      </c>
      <c r="AE7" s="5">
        <f t="shared" si="4"/>
        <v>76.375</v>
      </c>
      <c r="AF7" s="5">
        <f t="shared" si="5"/>
        <v>-76.375</v>
      </c>
      <c r="AG7" s="5">
        <f t="shared" si="6"/>
        <v>-76.375</v>
      </c>
      <c r="AH7" s="5">
        <f t="shared" si="7"/>
        <v>76.375</v>
      </c>
      <c r="AI7" s="5">
        <f t="shared" si="8"/>
        <v>-76.375</v>
      </c>
      <c r="AJ7" s="5">
        <f t="shared" si="9"/>
        <v>76.375</v>
      </c>
      <c r="AK7" s="19"/>
      <c r="AL7" s="6" t="s">
        <v>1</v>
      </c>
      <c r="AM7" s="207">
        <f>AE13</f>
        <v>-2.9375000000000071</v>
      </c>
      <c r="AN7" s="208"/>
      <c r="AO7" s="14">
        <f t="shared" si="15"/>
        <v>-1.4687500000000036</v>
      </c>
      <c r="AP7" s="12">
        <f t="shared" ref="AP7:AP12" si="16">4*AM7^2</f>
        <v>34.515625000000171</v>
      </c>
      <c r="AQ7" s="110">
        <v>1</v>
      </c>
      <c r="AR7" s="12">
        <f t="shared" ref="AR7:AR12" si="17">AP7/$AR$16</f>
        <v>17.068459279864154</v>
      </c>
      <c r="AS7" s="185">
        <f t="shared" ref="AS7:AS12" si="18">FDIST(AR7,1,$AQ$16)</f>
        <v>3.2921096012767468E-3</v>
      </c>
      <c r="AT7" s="19"/>
      <c r="AU7" s="19"/>
      <c r="AV7" s="19"/>
      <c r="AW7" s="19"/>
      <c r="AX7" s="19"/>
      <c r="AY7" s="19"/>
      <c r="AZ7" s="19"/>
      <c r="BA7" s="90" t="s">
        <v>51</v>
      </c>
      <c r="BB7" s="76" t="s">
        <v>44</v>
      </c>
      <c r="BC7" s="76" t="s">
        <v>59</v>
      </c>
      <c r="BD7" s="24"/>
      <c r="BE7" s="24"/>
      <c r="BF7" s="24"/>
      <c r="BG7" s="24"/>
      <c r="BH7" s="24"/>
      <c r="BI7" s="24"/>
      <c r="BJ7" s="24"/>
      <c r="BK7" s="23"/>
      <c r="BL7" s="25">
        <f>$AO$9</f>
        <v>1.1999999999999957</v>
      </c>
      <c r="BM7" s="23" t="s">
        <v>44</v>
      </c>
      <c r="BN7" s="25">
        <f>$AX$6</f>
        <v>-0.2</v>
      </c>
      <c r="BO7" s="27" t="s">
        <v>45</v>
      </c>
      <c r="BP7" s="11">
        <f t="shared" si="0"/>
        <v>-0.23999999999999916</v>
      </c>
      <c r="BQ7" s="19"/>
    </row>
    <row r="8" spans="1:81" ht="18" x14ac:dyDescent="0.35">
      <c r="A8" s="19"/>
      <c r="B8" s="19"/>
      <c r="C8" s="19"/>
      <c r="D8" s="19"/>
      <c r="E8" s="19"/>
      <c r="F8" s="19"/>
      <c r="G8" s="19"/>
      <c r="H8" s="19"/>
      <c r="I8" s="39"/>
      <c r="J8" s="19"/>
      <c r="K8" s="7" t="s">
        <v>5</v>
      </c>
      <c r="L8" s="103">
        <v>80.599999999999994</v>
      </c>
      <c r="M8" s="103">
        <v>80.5</v>
      </c>
      <c r="N8" s="104">
        <f t="shared" si="10"/>
        <v>80.55</v>
      </c>
      <c r="O8" s="104">
        <f t="shared" si="11"/>
        <v>4.999999999999432E-3</v>
      </c>
      <c r="P8" s="39"/>
      <c r="Q8" s="19"/>
      <c r="R8" s="83">
        <v>1</v>
      </c>
      <c r="S8" s="83">
        <v>1</v>
      </c>
      <c r="T8" s="83">
        <v>1</v>
      </c>
      <c r="U8" s="83">
        <f>PRODUCT(R8:T8)</f>
        <v>1</v>
      </c>
      <c r="V8" s="84">
        <f>-1</f>
        <v>-1</v>
      </c>
      <c r="W8" s="83">
        <f t="shared" si="12"/>
        <v>-1</v>
      </c>
      <c r="X8" s="83">
        <f t="shared" si="13"/>
        <v>-1</v>
      </c>
      <c r="Y8" s="83">
        <f t="shared" si="14"/>
        <v>-1</v>
      </c>
      <c r="Z8" s="19"/>
      <c r="AA8" s="104">
        <f t="shared" si="2"/>
        <v>80.55</v>
      </c>
      <c r="AB8" s="19"/>
      <c r="AC8" s="19"/>
      <c r="AD8" s="5">
        <f t="shared" si="3"/>
        <v>80.55</v>
      </c>
      <c r="AE8" s="5">
        <f t="shared" si="4"/>
        <v>80.55</v>
      </c>
      <c r="AF8" s="5">
        <f t="shared" si="5"/>
        <v>80.55</v>
      </c>
      <c r="AG8" s="5">
        <f t="shared" si="6"/>
        <v>-80.55</v>
      </c>
      <c r="AH8" s="5">
        <f t="shared" si="7"/>
        <v>-80.55</v>
      </c>
      <c r="AI8" s="5">
        <f t="shared" si="8"/>
        <v>-80.55</v>
      </c>
      <c r="AJ8" s="5">
        <f t="shared" si="9"/>
        <v>-80.55</v>
      </c>
      <c r="AK8" s="19"/>
      <c r="AL8" s="6" t="s">
        <v>2</v>
      </c>
      <c r="AM8" s="207">
        <f>AF13</f>
        <v>2.0374999999999979</v>
      </c>
      <c r="AN8" s="208"/>
      <c r="AO8" s="14">
        <f t="shared" si="15"/>
        <v>1.0187499999999989</v>
      </c>
      <c r="AP8" s="12">
        <f t="shared" si="16"/>
        <v>16.605624999999964</v>
      </c>
      <c r="AQ8" s="110">
        <v>1</v>
      </c>
      <c r="AR8" s="12">
        <f t="shared" si="17"/>
        <v>8.2117138000309193</v>
      </c>
      <c r="AS8" s="185">
        <f t="shared" si="18"/>
        <v>2.0969904422279511E-2</v>
      </c>
      <c r="AT8" s="19"/>
      <c r="AU8" s="19"/>
      <c r="AV8" s="19"/>
      <c r="AW8" s="19"/>
      <c r="AX8" s="19"/>
      <c r="AY8" s="19"/>
      <c r="AZ8" s="19"/>
      <c r="BA8" s="90" t="s">
        <v>52</v>
      </c>
      <c r="BB8" s="76" t="s">
        <v>44</v>
      </c>
      <c r="BC8" s="76" t="s">
        <v>57</v>
      </c>
      <c r="BD8" s="91" t="s">
        <v>44</v>
      </c>
      <c r="BE8" s="91" t="s">
        <v>59</v>
      </c>
      <c r="BF8" s="24"/>
      <c r="BG8" s="24"/>
      <c r="BH8" s="24"/>
      <c r="BI8" s="24"/>
      <c r="BJ8" s="24">
        <f>$AO$10</f>
        <v>0.77500000000000036</v>
      </c>
      <c r="BK8" s="23" t="s">
        <v>44</v>
      </c>
      <c r="BL8" s="25">
        <f>$AX$4</f>
        <v>0.59999999999999964</v>
      </c>
      <c r="BM8" s="23" t="s">
        <v>44</v>
      </c>
      <c r="BN8" s="25">
        <f>$AX$6</f>
        <v>-0.2</v>
      </c>
      <c r="BO8" s="27" t="s">
        <v>45</v>
      </c>
      <c r="BP8" s="11">
        <f>BJ8*BL8*BN8*$AT26</f>
        <v>0</v>
      </c>
      <c r="BQ8" s="19"/>
    </row>
    <row r="9" spans="1:81" ht="18" x14ac:dyDescent="0.35">
      <c r="A9" s="19"/>
      <c r="B9" s="19"/>
      <c r="C9" s="19"/>
      <c r="D9" s="19"/>
      <c r="E9" s="19"/>
      <c r="F9" s="19"/>
      <c r="G9" s="19"/>
      <c r="H9" s="19"/>
      <c r="I9" s="39"/>
      <c r="J9" s="19"/>
      <c r="K9" s="7" t="s">
        <v>7</v>
      </c>
      <c r="L9" s="103">
        <v>83.7</v>
      </c>
      <c r="M9" s="103">
        <v>80.7</v>
      </c>
      <c r="N9" s="104">
        <f t="shared" si="10"/>
        <v>82.2</v>
      </c>
      <c r="O9" s="104">
        <f t="shared" si="11"/>
        <v>4.5</v>
      </c>
      <c r="P9" s="39"/>
      <c r="Q9" s="19"/>
      <c r="R9" s="83">
        <v>1</v>
      </c>
      <c r="S9" s="83">
        <f>-1</f>
        <v>-1</v>
      </c>
      <c r="T9" s="83">
        <f>-1</f>
        <v>-1</v>
      </c>
      <c r="U9" s="83">
        <f t="shared" si="1"/>
        <v>1</v>
      </c>
      <c r="V9" s="84">
        <v>1</v>
      </c>
      <c r="W9" s="83">
        <f t="shared" si="12"/>
        <v>-1</v>
      </c>
      <c r="X9" s="83">
        <f t="shared" si="13"/>
        <v>-1</v>
      </c>
      <c r="Y9" s="83">
        <f t="shared" si="14"/>
        <v>1</v>
      </c>
      <c r="Z9" s="19"/>
      <c r="AA9" s="104">
        <f t="shared" si="2"/>
        <v>82.2</v>
      </c>
      <c r="AB9" s="19"/>
      <c r="AC9" s="19"/>
      <c r="AD9" s="5">
        <f t="shared" si="3"/>
        <v>-82.2</v>
      </c>
      <c r="AE9" s="5">
        <f t="shared" si="4"/>
        <v>-82.2</v>
      </c>
      <c r="AF9" s="5">
        <f t="shared" si="5"/>
        <v>82.2</v>
      </c>
      <c r="AG9" s="5">
        <f t="shared" si="6"/>
        <v>82.2</v>
      </c>
      <c r="AH9" s="5">
        <f t="shared" si="7"/>
        <v>-82.2</v>
      </c>
      <c r="AI9" s="5">
        <f t="shared" si="8"/>
        <v>-82.2</v>
      </c>
      <c r="AJ9" s="5">
        <f t="shared" si="9"/>
        <v>82.2</v>
      </c>
      <c r="AK9" s="19"/>
      <c r="AL9" s="6" t="s">
        <v>11</v>
      </c>
      <c r="AM9" s="207">
        <f>AG13</f>
        <v>2.3999999999999915</v>
      </c>
      <c r="AN9" s="208"/>
      <c r="AO9" s="14">
        <f t="shared" si="15"/>
        <v>1.1999999999999957</v>
      </c>
      <c r="AP9" s="12">
        <f t="shared" si="16"/>
        <v>23.039999999999836</v>
      </c>
      <c r="AQ9" s="110">
        <v>1</v>
      </c>
      <c r="AR9" s="12">
        <f t="shared" si="17"/>
        <v>11.393602225312895</v>
      </c>
      <c r="AS9" s="185">
        <f t="shared" si="18"/>
        <v>9.706990948744559E-3</v>
      </c>
      <c r="AT9" s="19"/>
      <c r="AU9" s="19"/>
      <c r="AV9" s="19"/>
      <c r="AW9" s="19"/>
      <c r="AX9" s="19"/>
      <c r="AY9" s="19"/>
      <c r="AZ9" s="19"/>
      <c r="BA9" s="90" t="s">
        <v>53</v>
      </c>
      <c r="BB9" s="76" t="s">
        <v>44</v>
      </c>
      <c r="BC9" s="76" t="s">
        <v>55</v>
      </c>
      <c r="BD9" s="91" t="s">
        <v>44</v>
      </c>
      <c r="BE9" s="91" t="s">
        <v>58</v>
      </c>
      <c r="BF9" s="24"/>
      <c r="BG9" s="24"/>
      <c r="BH9" s="24"/>
      <c r="BI9" s="24"/>
      <c r="BJ9" s="24">
        <f>$AO$11</f>
        <v>0.41875000000000284</v>
      </c>
      <c r="BK9" s="23" t="s">
        <v>44</v>
      </c>
      <c r="BL9" s="25">
        <f>$AX$5</f>
        <v>0.2</v>
      </c>
      <c r="BM9" s="23" t="s">
        <v>44</v>
      </c>
      <c r="BN9" s="25">
        <f>$AX$6</f>
        <v>-0.2</v>
      </c>
      <c r="BO9" s="27" t="s">
        <v>45</v>
      </c>
      <c r="BP9" s="11">
        <f>BJ9*BL9*BN9*$AT27</f>
        <v>0</v>
      </c>
      <c r="BQ9" s="19"/>
    </row>
    <row r="10" spans="1:81" ht="18" x14ac:dyDescent="0.35">
      <c r="A10" s="19"/>
      <c r="B10" s="19"/>
      <c r="C10" s="19"/>
      <c r="D10" s="19"/>
      <c r="E10" s="19"/>
      <c r="F10" s="19"/>
      <c r="G10" s="19"/>
      <c r="H10" s="19"/>
      <c r="I10" s="39"/>
      <c r="J10" s="19"/>
      <c r="K10" s="7" t="s">
        <v>8</v>
      </c>
      <c r="L10" s="103">
        <v>85.5</v>
      </c>
      <c r="M10" s="103">
        <v>85.3</v>
      </c>
      <c r="N10" s="104">
        <f t="shared" si="10"/>
        <v>85.4</v>
      </c>
      <c r="O10" s="104">
        <f t="shared" si="11"/>
        <v>2.0000000000000569E-2</v>
      </c>
      <c r="P10" s="39"/>
      <c r="Q10" s="19"/>
      <c r="R10" s="83">
        <v>1</v>
      </c>
      <c r="S10" s="83">
        <v>1</v>
      </c>
      <c r="T10" s="83">
        <f>-1</f>
        <v>-1</v>
      </c>
      <c r="U10" s="83">
        <f t="shared" si="1"/>
        <v>-1</v>
      </c>
      <c r="V10" s="84">
        <v>1</v>
      </c>
      <c r="W10" s="83">
        <f t="shared" si="12"/>
        <v>1</v>
      </c>
      <c r="X10" s="83">
        <f t="shared" si="13"/>
        <v>-1</v>
      </c>
      <c r="Y10" s="83">
        <f t="shared" si="14"/>
        <v>-1</v>
      </c>
      <c r="Z10" s="19"/>
      <c r="AA10" s="104">
        <f t="shared" si="2"/>
        <v>85.4</v>
      </c>
      <c r="AB10" s="19"/>
      <c r="AC10" s="19"/>
      <c r="AD10" s="5">
        <f t="shared" si="3"/>
        <v>85.4</v>
      </c>
      <c r="AE10" s="5">
        <f t="shared" si="4"/>
        <v>-85.4</v>
      </c>
      <c r="AF10" s="5">
        <f t="shared" si="5"/>
        <v>-85.4</v>
      </c>
      <c r="AG10" s="5">
        <f t="shared" si="6"/>
        <v>85.4</v>
      </c>
      <c r="AH10" s="5">
        <f t="shared" si="7"/>
        <v>85.4</v>
      </c>
      <c r="AI10" s="5">
        <f t="shared" si="8"/>
        <v>-85.4</v>
      </c>
      <c r="AJ10" s="5">
        <f t="shared" si="9"/>
        <v>-85.4</v>
      </c>
      <c r="AK10" s="19"/>
      <c r="AL10" s="6" t="s">
        <v>12</v>
      </c>
      <c r="AM10" s="207">
        <f>AH13</f>
        <v>1.5500000000000007</v>
      </c>
      <c r="AN10" s="208"/>
      <c r="AO10" s="14">
        <f t="shared" si="15"/>
        <v>0.77500000000000036</v>
      </c>
      <c r="AP10" s="12">
        <f t="shared" si="16"/>
        <v>9.6100000000000083</v>
      </c>
      <c r="AQ10" s="110">
        <v>1</v>
      </c>
      <c r="AR10" s="12">
        <f t="shared" si="17"/>
        <v>4.7522794004018136</v>
      </c>
      <c r="AS10" s="185">
        <f t="shared" si="18"/>
        <v>6.0865081652070288E-2</v>
      </c>
      <c r="AT10" s="19"/>
      <c r="AU10" s="19"/>
      <c r="AV10" s="19"/>
      <c r="AW10" s="19"/>
      <c r="AX10" s="19"/>
      <c r="AY10" s="19"/>
      <c r="AZ10" s="19"/>
      <c r="BA10" s="98" t="s">
        <v>54</v>
      </c>
      <c r="BB10" s="101" t="s">
        <v>44</v>
      </c>
      <c r="BC10" s="101" t="s">
        <v>57</v>
      </c>
      <c r="BD10" s="92" t="s">
        <v>44</v>
      </c>
      <c r="BE10" s="92" t="s">
        <v>55</v>
      </c>
      <c r="BF10" s="92" t="s">
        <v>44</v>
      </c>
      <c r="BG10" s="92" t="s">
        <v>58</v>
      </c>
      <c r="BH10" s="30">
        <f>$AO$12</f>
        <v>-0.24375000000000391</v>
      </c>
      <c r="BI10" s="30" t="s">
        <v>44</v>
      </c>
      <c r="BJ10" s="30">
        <f>$AX$4</f>
        <v>0.59999999999999964</v>
      </c>
      <c r="BK10" s="29" t="s">
        <v>44</v>
      </c>
      <c r="BL10" s="31">
        <f>$AX$5</f>
        <v>0.2</v>
      </c>
      <c r="BM10" s="29" t="s">
        <v>44</v>
      </c>
      <c r="BN10" s="25">
        <f>$AX$6</f>
        <v>-0.2</v>
      </c>
      <c r="BO10" s="27" t="s">
        <v>45</v>
      </c>
      <c r="BP10" s="11">
        <f>BH10*BJ10*BL10*BN10*$AT28</f>
        <v>0</v>
      </c>
      <c r="BQ10" s="19"/>
    </row>
    <row r="11" spans="1:81" x14ac:dyDescent="0.25">
      <c r="A11" s="19"/>
      <c r="B11" s="19"/>
      <c r="C11" s="19"/>
      <c r="D11" s="19"/>
      <c r="E11" s="19"/>
      <c r="F11" s="19"/>
      <c r="G11" s="19"/>
      <c r="H11" s="19"/>
      <c r="I11" s="39"/>
      <c r="J11" s="19"/>
      <c r="K11" s="7" t="s">
        <v>9</v>
      </c>
      <c r="L11" s="103">
        <v>80.2</v>
      </c>
      <c r="M11" s="103">
        <v>76.900000000000006</v>
      </c>
      <c r="N11" s="104">
        <f t="shared" si="10"/>
        <v>78.550000000000011</v>
      </c>
      <c r="O11" s="104">
        <f t="shared" si="11"/>
        <v>5.4449999999999905</v>
      </c>
      <c r="P11" s="39"/>
      <c r="Q11" s="19"/>
      <c r="R11" s="83">
        <v>1</v>
      </c>
      <c r="S11" s="83">
        <f>-1</f>
        <v>-1</v>
      </c>
      <c r="T11" s="83">
        <v>1</v>
      </c>
      <c r="U11" s="83">
        <f t="shared" si="1"/>
        <v>-1</v>
      </c>
      <c r="V11" s="84">
        <v>1</v>
      </c>
      <c r="W11" s="83">
        <f t="shared" si="12"/>
        <v>-1</v>
      </c>
      <c r="X11" s="83">
        <f t="shared" si="13"/>
        <v>1</v>
      </c>
      <c r="Y11" s="83">
        <f t="shared" si="14"/>
        <v>-1</v>
      </c>
      <c r="Z11" s="19"/>
      <c r="AA11" s="104">
        <f t="shared" si="2"/>
        <v>78.550000000000011</v>
      </c>
      <c r="AB11" s="19"/>
      <c r="AC11" s="19"/>
      <c r="AD11" s="5">
        <f t="shared" si="3"/>
        <v>-78.550000000000011</v>
      </c>
      <c r="AE11" s="5">
        <f t="shared" si="4"/>
        <v>78.550000000000011</v>
      </c>
      <c r="AF11" s="5">
        <f t="shared" si="5"/>
        <v>-78.550000000000011</v>
      </c>
      <c r="AG11" s="5">
        <f t="shared" si="6"/>
        <v>78.550000000000011</v>
      </c>
      <c r="AH11" s="5">
        <f t="shared" si="7"/>
        <v>-78.550000000000011</v>
      </c>
      <c r="AI11" s="5">
        <f t="shared" si="8"/>
        <v>78.550000000000011</v>
      </c>
      <c r="AJ11" s="5">
        <f t="shared" si="9"/>
        <v>-78.550000000000011</v>
      </c>
      <c r="AK11" s="19"/>
      <c r="AL11" s="6" t="s">
        <v>13</v>
      </c>
      <c r="AM11" s="207">
        <f>AI13</f>
        <v>0.83750000000000568</v>
      </c>
      <c r="AN11" s="208"/>
      <c r="AO11" s="14">
        <f t="shared" si="15"/>
        <v>0.41875000000000284</v>
      </c>
      <c r="AP11" s="12">
        <f t="shared" si="16"/>
        <v>2.8056250000000382</v>
      </c>
      <c r="AQ11" s="110">
        <v>1</v>
      </c>
      <c r="AR11" s="12">
        <f t="shared" si="17"/>
        <v>1.3874208004945379</v>
      </c>
      <c r="AS11" s="185">
        <f t="shared" si="18"/>
        <v>0.2726902449456573</v>
      </c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28" t="s">
        <v>46</v>
      </c>
      <c r="BO11" s="57" t="s">
        <v>45</v>
      </c>
      <c r="BP11" s="94">
        <f>SUM(BP3:BP10)</f>
        <v>82.098499999999987</v>
      </c>
      <c r="BQ11" s="19"/>
    </row>
    <row r="12" spans="1:81" x14ac:dyDescent="0.25">
      <c r="A12" s="19"/>
      <c r="B12" s="19"/>
      <c r="C12" s="19"/>
      <c r="D12" s="19"/>
      <c r="E12" s="19"/>
      <c r="F12" s="19"/>
      <c r="G12" s="19"/>
      <c r="H12" s="19"/>
      <c r="I12" s="39"/>
      <c r="J12" s="19"/>
      <c r="K12" s="7" t="s">
        <v>10</v>
      </c>
      <c r="L12" s="103">
        <v>85.2</v>
      </c>
      <c r="M12" s="103">
        <v>84.5</v>
      </c>
      <c r="N12" s="104">
        <f t="shared" si="10"/>
        <v>84.85</v>
      </c>
      <c r="O12" s="104">
        <f t="shared" si="11"/>
        <v>0.24500000000000199</v>
      </c>
      <c r="P12" s="39"/>
      <c r="Q12" s="19"/>
      <c r="R12" s="83">
        <v>1</v>
      </c>
      <c r="S12" s="83">
        <v>1</v>
      </c>
      <c r="T12" s="83">
        <v>1</v>
      </c>
      <c r="U12" s="83">
        <f>PRODUCT(R12:T12)</f>
        <v>1</v>
      </c>
      <c r="V12" s="84">
        <v>1</v>
      </c>
      <c r="W12" s="83">
        <f t="shared" si="12"/>
        <v>1</v>
      </c>
      <c r="X12" s="83">
        <f t="shared" si="13"/>
        <v>1</v>
      </c>
      <c r="Y12" s="83">
        <f t="shared" si="14"/>
        <v>1</v>
      </c>
      <c r="Z12" s="19"/>
      <c r="AA12" s="104">
        <f t="shared" si="2"/>
        <v>84.85</v>
      </c>
      <c r="AB12" s="19"/>
      <c r="AC12" s="19"/>
      <c r="AD12" s="5">
        <f t="shared" si="3"/>
        <v>84.85</v>
      </c>
      <c r="AE12" s="5">
        <f t="shared" si="4"/>
        <v>84.85</v>
      </c>
      <c r="AF12" s="5">
        <f t="shared" si="5"/>
        <v>84.85</v>
      </c>
      <c r="AG12" s="5">
        <f t="shared" si="6"/>
        <v>84.85</v>
      </c>
      <c r="AH12" s="5">
        <f t="shared" si="7"/>
        <v>84.85</v>
      </c>
      <c r="AI12" s="5">
        <f t="shared" si="8"/>
        <v>84.85</v>
      </c>
      <c r="AJ12" s="5">
        <f t="shared" si="9"/>
        <v>84.85</v>
      </c>
      <c r="AK12" s="19"/>
      <c r="AL12" s="6" t="s">
        <v>14</v>
      </c>
      <c r="AM12" s="207">
        <f>AJ13</f>
        <v>-0.48750000000000782</v>
      </c>
      <c r="AN12" s="208"/>
      <c r="AO12" s="14">
        <f t="shared" si="15"/>
        <v>-0.24375000000000391</v>
      </c>
      <c r="AP12" s="12">
        <f t="shared" si="16"/>
        <v>0.95062500000003047</v>
      </c>
      <c r="AQ12" s="110">
        <v>1</v>
      </c>
      <c r="AR12" s="12">
        <f t="shared" si="17"/>
        <v>0.47009735744090692</v>
      </c>
      <c r="AS12" s="185">
        <f t="shared" si="18"/>
        <v>0.51231753216250631</v>
      </c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W12" s="22"/>
      <c r="CC12" s="22"/>
    </row>
    <row r="13" spans="1:81" ht="15" customHeight="1" x14ac:dyDescent="0.25">
      <c r="A13" s="19"/>
      <c r="B13" s="19"/>
      <c r="C13" s="19"/>
      <c r="D13" s="19"/>
      <c r="E13" s="19"/>
      <c r="F13" s="19"/>
      <c r="G13" s="19"/>
      <c r="H13" s="19"/>
      <c r="I13" s="39"/>
      <c r="J13" s="19"/>
      <c r="K13" s="19"/>
      <c r="L13" s="19"/>
      <c r="M13" s="19"/>
      <c r="N13" s="19" t="s">
        <v>124</v>
      </c>
      <c r="O13" s="104">
        <f>SUM(O5:O12)</f>
        <v>16.177500000000002</v>
      </c>
      <c r="P13" s="3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05">
        <f>AVERAGE(AA5:AA12)</f>
        <v>81.55</v>
      </c>
      <c r="AB13" s="19"/>
      <c r="AC13" s="19"/>
      <c r="AD13" s="175">
        <f>SUM(AD5:AD12)/4</f>
        <v>3.1999999999999922</v>
      </c>
      <c r="AE13" s="175">
        <f t="shared" ref="AE13:AJ13" si="19">SUM(AE5:AE12)/4</f>
        <v>-2.9375000000000071</v>
      </c>
      <c r="AF13" s="175">
        <f t="shared" si="19"/>
        <v>2.0374999999999979</v>
      </c>
      <c r="AG13" s="175">
        <f t="shared" si="19"/>
        <v>2.3999999999999915</v>
      </c>
      <c r="AH13" s="175">
        <f t="shared" si="19"/>
        <v>1.5500000000000007</v>
      </c>
      <c r="AI13" s="175">
        <f t="shared" si="19"/>
        <v>0.83750000000000568</v>
      </c>
      <c r="AJ13" s="175">
        <f t="shared" si="19"/>
        <v>-0.48750000000000782</v>
      </c>
      <c r="AK13" s="19"/>
      <c r="AL13" s="19"/>
      <c r="AM13" s="19"/>
      <c r="AN13" s="19"/>
      <c r="AO13" s="19"/>
      <c r="AP13" s="12">
        <f>SUM(AP6:AP12)</f>
        <v>128.48749999999984</v>
      </c>
      <c r="AQ13" s="110">
        <f>SUM(AQ6:AQ12)</f>
        <v>7</v>
      </c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</row>
    <row r="14" spans="1:81" ht="14.25" customHeight="1" x14ac:dyDescent="0.25">
      <c r="A14" s="19"/>
      <c r="B14" s="19"/>
      <c r="C14" s="19"/>
      <c r="D14" s="19"/>
      <c r="E14" s="19"/>
      <c r="F14" s="19"/>
      <c r="G14" s="19"/>
      <c r="H14" s="19"/>
      <c r="I14" s="39"/>
      <c r="J14" s="19"/>
      <c r="K14" s="19" t="s">
        <v>112</v>
      </c>
      <c r="L14" s="19"/>
      <c r="M14" s="19"/>
      <c r="N14" s="19"/>
      <c r="O14" s="19"/>
      <c r="P14" s="3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</row>
    <row r="15" spans="1:81" ht="15" customHeight="1" x14ac:dyDescent="0.35">
      <c r="AB15" s="19"/>
      <c r="AC15" s="19"/>
      <c r="AD15" s="193" t="s">
        <v>101</v>
      </c>
      <c r="AE15" s="194"/>
      <c r="AF15" s="194"/>
      <c r="AG15" s="194"/>
      <c r="AH15" s="194"/>
      <c r="AI15" s="194"/>
      <c r="AJ15" s="195"/>
      <c r="AK15" s="19"/>
      <c r="AL15" s="19"/>
      <c r="AM15" s="19"/>
      <c r="AN15" s="19"/>
      <c r="AO15" s="19"/>
      <c r="AP15" s="7" t="s">
        <v>113</v>
      </c>
      <c r="AQ15" s="7" t="s">
        <v>114</v>
      </c>
      <c r="AR15" s="124" t="s">
        <v>115</v>
      </c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</row>
    <row r="16" spans="1:81" x14ac:dyDescent="0.25">
      <c r="O16" s="8"/>
      <c r="AB16" s="19"/>
      <c r="AC16" s="19"/>
      <c r="AD16" s="4" t="str">
        <f t="shared" ref="AD16:AJ16" si="20">AD4</f>
        <v>A</v>
      </c>
      <c r="AE16" s="4" t="str">
        <f t="shared" si="20"/>
        <v>B</v>
      </c>
      <c r="AF16" s="5" t="str">
        <f t="shared" si="20"/>
        <v>AB</v>
      </c>
      <c r="AG16" s="4" t="str">
        <f t="shared" si="20"/>
        <v xml:space="preserve">C </v>
      </c>
      <c r="AH16" s="5" t="str">
        <f t="shared" si="20"/>
        <v>AC</v>
      </c>
      <c r="AI16" s="5" t="str">
        <f t="shared" si="20"/>
        <v>BC</v>
      </c>
      <c r="AJ16" s="5" t="str">
        <f t="shared" si="20"/>
        <v>ABC</v>
      </c>
      <c r="AK16" s="19"/>
      <c r="AL16" s="19"/>
      <c r="AM16" s="19"/>
      <c r="AN16" s="19"/>
      <c r="AO16" s="19"/>
      <c r="AP16" s="112">
        <v>16.177499999999942</v>
      </c>
      <c r="AQ16" s="126">
        <v>8</v>
      </c>
      <c r="AR16" s="125">
        <f>AP16/AQ16</f>
        <v>2.0221874999999927</v>
      </c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</row>
    <row r="17" spans="14:69" ht="18" x14ac:dyDescent="0.35">
      <c r="O17" s="8"/>
      <c r="AB17" s="19"/>
      <c r="AC17" s="19"/>
      <c r="AD17" s="4" t="str">
        <f>C5</f>
        <v>Rücklaufverhältnis</v>
      </c>
      <c r="AE17" s="4" t="str">
        <f>C6</f>
        <v>Verdampferleistung</v>
      </c>
      <c r="AF17" s="5"/>
      <c r="AG17" s="4" t="str">
        <f>C7</f>
        <v>Zulaufkonzentration</v>
      </c>
      <c r="AH17" s="5"/>
      <c r="AI17" s="5"/>
      <c r="AJ17" s="5"/>
      <c r="AK17" s="19"/>
      <c r="AL17" s="46" t="s">
        <v>72</v>
      </c>
      <c r="AM17" s="113">
        <v>0.05</v>
      </c>
      <c r="AN17" s="113"/>
      <c r="AO17" s="114" t="s">
        <v>110</v>
      </c>
      <c r="AP17" s="114">
        <f>AQ16</f>
        <v>8</v>
      </c>
      <c r="AQ17" s="115" t="s">
        <v>111</v>
      </c>
      <c r="AR17" s="116">
        <f>FINV(AM17,1,AQ16)</f>
        <v>5.3176550715787174</v>
      </c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</row>
    <row r="18" spans="14:69" x14ac:dyDescent="0.25">
      <c r="O18" s="8"/>
      <c r="AB18" s="19"/>
      <c r="AC18" s="2">
        <v>-1</v>
      </c>
      <c r="AD18" s="64">
        <f>ABS(SUMIF(AD5:AD12,"&lt;0"))/COUNT(AD$5:AD$12)*2</f>
        <v>79.95</v>
      </c>
      <c r="AE18" s="64">
        <f t="shared" ref="AE18:AJ18" si="21">ABS(SUMIF(AE5:AE12,"&lt;0"))/COUNT(AE$5:AE$12)*2</f>
        <v>83.018750000000011</v>
      </c>
      <c r="AF18" s="64">
        <f t="shared" si="21"/>
        <v>80.53125</v>
      </c>
      <c r="AG18" s="64">
        <f t="shared" si="21"/>
        <v>80.350000000000009</v>
      </c>
      <c r="AH18" s="64">
        <f t="shared" si="21"/>
        <v>80.775000000000006</v>
      </c>
      <c r="AI18" s="64">
        <f t="shared" si="21"/>
        <v>81.131249999999994</v>
      </c>
      <c r="AJ18" s="64">
        <f t="shared" si="21"/>
        <v>81.793750000000017</v>
      </c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</row>
    <row r="19" spans="14:69" x14ac:dyDescent="0.25">
      <c r="O19" s="8"/>
      <c r="U19"/>
      <c r="Y19"/>
      <c r="AB19" s="19"/>
      <c r="AC19" s="2">
        <v>1</v>
      </c>
      <c r="AD19" s="64">
        <f>SUMIF(AD5:AD12,"&gt;0")/COUNT(AD$5:AD$12)*2</f>
        <v>83.15</v>
      </c>
      <c r="AE19" s="64">
        <f t="shared" ref="AE19:AJ19" si="22">SUMIF(AE5:AE12,"&gt;0")/COUNT(AE$5:AE$12)*2</f>
        <v>80.081250000000011</v>
      </c>
      <c r="AF19" s="64">
        <f t="shared" si="22"/>
        <v>82.568749999999994</v>
      </c>
      <c r="AG19" s="64">
        <f t="shared" si="22"/>
        <v>82.75</v>
      </c>
      <c r="AH19" s="64">
        <f t="shared" si="22"/>
        <v>82.325000000000003</v>
      </c>
      <c r="AI19" s="64">
        <f t="shared" si="22"/>
        <v>81.96875</v>
      </c>
      <c r="AJ19" s="64">
        <f t="shared" si="22"/>
        <v>81.306250000000006</v>
      </c>
      <c r="AK19" s="19"/>
      <c r="AL19" s="209" t="str">
        <f>AL3</f>
        <v>Wirkungen</v>
      </c>
      <c r="AM19" s="198"/>
      <c r="AN19" s="210"/>
      <c r="AO19" s="52" t="str">
        <f>AO3</f>
        <v>Koeff.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</row>
    <row r="20" spans="14:69" ht="18" x14ac:dyDescent="0.35">
      <c r="N20" s="107"/>
      <c r="O20" s="8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19" t="str">
        <f>AL4</f>
        <v>Bezeichnung</v>
      </c>
      <c r="AM20" s="119" t="str">
        <f>AM4</f>
        <v xml:space="preserve">Konzentration in </v>
      </c>
      <c r="AN20" s="119" t="str">
        <f>AN4</f>
        <v>%</v>
      </c>
      <c r="AO20" s="53"/>
      <c r="AP20" s="120" t="s">
        <v>38</v>
      </c>
      <c r="AQ20" s="120" t="s">
        <v>109</v>
      </c>
      <c r="AR20" s="7" t="s">
        <v>40</v>
      </c>
      <c r="AS20" s="119" t="s">
        <v>37</v>
      </c>
      <c r="AT20" s="120"/>
      <c r="AU20" s="177" t="s">
        <v>127</v>
      </c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</row>
    <row r="21" spans="14:69" x14ac:dyDescent="0.25">
      <c r="N21" s="107"/>
      <c r="O21" s="8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6"/>
      <c r="AM21" s="121"/>
      <c r="AN21" s="122"/>
      <c r="AO21" s="14">
        <f t="shared" ref="AO21:AO27" si="23">AO5</f>
        <v>81.55</v>
      </c>
      <c r="AP21" s="12"/>
      <c r="AQ21" s="110"/>
      <c r="AR21" s="12"/>
      <c r="AS21" s="5"/>
      <c r="AT21" s="5"/>
      <c r="AU21" s="184"/>
    </row>
    <row r="22" spans="14:69" x14ac:dyDescent="0.25">
      <c r="N22" s="107"/>
      <c r="O22" s="8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6" t="str">
        <f t="shared" ref="AL22:AM27" si="24">AL6</f>
        <v>A</v>
      </c>
      <c r="AM22" s="121">
        <f t="shared" si="24"/>
        <v>3.1999999999999922</v>
      </c>
      <c r="AN22" s="122"/>
      <c r="AO22" s="14">
        <f t="shared" si="23"/>
        <v>1.5999999999999961</v>
      </c>
      <c r="AP22" s="12">
        <f t="shared" ref="AP22:AQ27" si="25">AP6</f>
        <v>40.959999999999802</v>
      </c>
      <c r="AQ22" s="110">
        <f t="shared" si="25"/>
        <v>1</v>
      </c>
      <c r="AR22" s="12">
        <f t="shared" ref="AR22:AR27" si="26">AP6/$AR$32</f>
        <v>21.522495894909621</v>
      </c>
      <c r="AS22" s="5" t="str">
        <f t="shared" ref="AS22:AS27" si="27">IF($AR22&gt;$AR$33,"signifikant","nicht signifikant")</f>
        <v>signifikant</v>
      </c>
      <c r="AT22" s="5">
        <f t="shared" ref="AT22:AT27" si="28">IF($AR22&gt;$AR$33,1,0)</f>
        <v>1</v>
      </c>
      <c r="AU22" s="185">
        <f>FDIST(AR22,1,$AQ$32)</f>
        <v>1.2205868516668144E-3</v>
      </c>
    </row>
    <row r="23" spans="14:69" x14ac:dyDescent="0.25">
      <c r="N23" s="107"/>
      <c r="O23" s="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6" t="str">
        <f t="shared" si="24"/>
        <v>B</v>
      </c>
      <c r="AM23" s="121">
        <f t="shared" si="24"/>
        <v>-2.9375000000000071</v>
      </c>
      <c r="AN23" s="122"/>
      <c r="AO23" s="14">
        <f t="shared" si="23"/>
        <v>-1.4687500000000036</v>
      </c>
      <c r="AP23" s="12">
        <f t="shared" si="25"/>
        <v>34.515625000000171</v>
      </c>
      <c r="AQ23" s="110">
        <f t="shared" si="25"/>
        <v>1</v>
      </c>
      <c r="AR23" s="12">
        <f t="shared" si="26"/>
        <v>18.136288998358083</v>
      </c>
      <c r="AS23" s="5" t="str">
        <f t="shared" si="27"/>
        <v>signifikant</v>
      </c>
      <c r="AT23" s="5">
        <f t="shared" si="28"/>
        <v>1</v>
      </c>
      <c r="AU23" s="185">
        <f t="shared" ref="AU23:AU27" si="29">FDIST(AR23,1,$AQ$32)</f>
        <v>2.1152788549866604E-3</v>
      </c>
    </row>
    <row r="24" spans="14:69" x14ac:dyDescent="0.25">
      <c r="N24" s="107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6" t="str">
        <f t="shared" si="24"/>
        <v>AB</v>
      </c>
      <c r="AM24" s="121">
        <f t="shared" si="24"/>
        <v>2.0374999999999979</v>
      </c>
      <c r="AN24" s="122"/>
      <c r="AO24" s="14">
        <f t="shared" si="23"/>
        <v>1.0187499999999989</v>
      </c>
      <c r="AP24" s="12">
        <f t="shared" si="25"/>
        <v>16.605624999999964</v>
      </c>
      <c r="AQ24" s="110">
        <f t="shared" si="25"/>
        <v>1</v>
      </c>
      <c r="AR24" s="12">
        <f t="shared" si="26"/>
        <v>8.7254515599343137</v>
      </c>
      <c r="AS24" s="5" t="str">
        <f t="shared" si="27"/>
        <v>signifikant</v>
      </c>
      <c r="AT24" s="5">
        <f t="shared" si="28"/>
        <v>1</v>
      </c>
      <c r="AU24" s="185">
        <f t="shared" si="29"/>
        <v>1.6118787367537496E-2</v>
      </c>
    </row>
    <row r="25" spans="14:69" x14ac:dyDescent="0.25">
      <c r="N25" s="107"/>
      <c r="O25" s="8"/>
      <c r="R25" s="18"/>
      <c r="S25" s="1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 t="str">
        <f t="shared" si="24"/>
        <v xml:space="preserve">C </v>
      </c>
      <c r="AM25" s="121">
        <f t="shared" si="24"/>
        <v>2.3999999999999915</v>
      </c>
      <c r="AN25" s="122"/>
      <c r="AO25" s="14">
        <f t="shared" si="23"/>
        <v>1.1999999999999957</v>
      </c>
      <c r="AP25" s="12">
        <f t="shared" si="25"/>
        <v>23.039999999999836</v>
      </c>
      <c r="AQ25" s="110">
        <f t="shared" si="25"/>
        <v>1</v>
      </c>
      <c r="AR25" s="12">
        <f t="shared" si="26"/>
        <v>12.106403940886633</v>
      </c>
      <c r="AS25" s="5" t="str">
        <f t="shared" si="27"/>
        <v>signifikant</v>
      </c>
      <c r="AT25" s="5">
        <f t="shared" si="28"/>
        <v>1</v>
      </c>
      <c r="AU25" s="185">
        <f t="shared" si="29"/>
        <v>6.9448369188843725E-3</v>
      </c>
    </row>
    <row r="26" spans="14:69" x14ac:dyDescent="0.25">
      <c r="N26" s="107"/>
      <c r="R26" s="18"/>
      <c r="S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6" t="str">
        <f t="shared" si="24"/>
        <v>AC</v>
      </c>
      <c r="AM26" s="121">
        <f t="shared" si="24"/>
        <v>1.5500000000000007</v>
      </c>
      <c r="AN26" s="122"/>
      <c r="AO26" s="14">
        <f t="shared" si="23"/>
        <v>0.77500000000000036</v>
      </c>
      <c r="AP26" s="12">
        <f t="shared" si="25"/>
        <v>9.6100000000000083</v>
      </c>
      <c r="AQ26" s="110">
        <f t="shared" si="25"/>
        <v>1</v>
      </c>
      <c r="AR26" s="12">
        <f t="shared" si="26"/>
        <v>5.0495894909688142</v>
      </c>
      <c r="AS26" s="5" t="str">
        <f t="shared" si="27"/>
        <v>nicht signifikant</v>
      </c>
      <c r="AT26" s="5">
        <f t="shared" si="28"/>
        <v>0</v>
      </c>
      <c r="AU26" s="185">
        <f t="shared" si="29"/>
        <v>5.1243037065410425E-2</v>
      </c>
      <c r="AW26" s="96"/>
    </row>
    <row r="27" spans="14:69" x14ac:dyDescent="0.25">
      <c r="N27" s="107"/>
      <c r="R27" s="18"/>
      <c r="S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6" t="str">
        <f t="shared" si="24"/>
        <v>BC</v>
      </c>
      <c r="AM27" s="121">
        <f t="shared" si="24"/>
        <v>0.83750000000000568</v>
      </c>
      <c r="AN27" s="122"/>
      <c r="AO27" s="54">
        <f t="shared" si="23"/>
        <v>0.41875000000000284</v>
      </c>
      <c r="AP27" s="12">
        <f t="shared" si="25"/>
        <v>2.8056250000000382</v>
      </c>
      <c r="AQ27" s="1">
        <f t="shared" si="25"/>
        <v>1</v>
      </c>
      <c r="AR27" s="12">
        <f t="shared" si="26"/>
        <v>1.4742200328407451</v>
      </c>
      <c r="AS27" s="5" t="str">
        <f t="shared" si="27"/>
        <v>nicht signifikant</v>
      </c>
      <c r="AT27" s="5">
        <f t="shared" si="28"/>
        <v>0</v>
      </c>
      <c r="AU27" s="185">
        <f t="shared" si="29"/>
        <v>0.25557827023195201</v>
      </c>
    </row>
    <row r="28" spans="14:69" x14ac:dyDescent="0.25">
      <c r="N28" s="108"/>
      <c r="O28" s="106"/>
      <c r="S28" s="18"/>
      <c r="T2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6" t="s">
        <v>14</v>
      </c>
      <c r="AM28" s="121"/>
      <c r="AN28" s="122"/>
      <c r="AO28" s="14"/>
      <c r="AP28" s="111"/>
      <c r="AQ28" s="110"/>
      <c r="AR28" s="12"/>
      <c r="AS28" s="5"/>
      <c r="AT28" s="5"/>
      <c r="AU28" s="176"/>
    </row>
    <row r="29" spans="14:69" x14ac:dyDescent="0.25"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2">
        <f>SUM(AP22:AP28)</f>
        <v>127.53687499999982</v>
      </c>
      <c r="AQ29" s="110">
        <f>SUM(AQ22:AQ28)</f>
        <v>6</v>
      </c>
      <c r="AR29" s="19"/>
      <c r="AS29" s="19"/>
      <c r="AT29" s="19"/>
      <c r="AU29" s="19"/>
    </row>
    <row r="30" spans="14:69" x14ac:dyDescent="0.25"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14:69" ht="18" x14ac:dyDescent="0.35"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7" t="s">
        <v>116</v>
      </c>
      <c r="AQ31" s="7" t="s">
        <v>114</v>
      </c>
      <c r="AR31" s="124" t="s">
        <v>115</v>
      </c>
      <c r="AS31" s="19"/>
      <c r="AT31" s="19"/>
      <c r="AU31" s="19"/>
    </row>
    <row r="32" spans="14:69" x14ac:dyDescent="0.25"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12">
        <f>AP16+AP12</f>
        <v>17.128124999999972</v>
      </c>
      <c r="AQ32">
        <v>9</v>
      </c>
      <c r="AR32" s="118">
        <f>AP32/AQ32</f>
        <v>1.9031249999999968</v>
      </c>
      <c r="AS32" s="19"/>
      <c r="AT32" s="19"/>
      <c r="AU32" s="19"/>
    </row>
    <row r="33" spans="14:47" ht="18" x14ac:dyDescent="0.35"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46" t="s">
        <v>72</v>
      </c>
      <c r="AM33" s="127">
        <f>AM17</f>
        <v>0.05</v>
      </c>
      <c r="AN33" s="115"/>
      <c r="AO33" s="114" t="s">
        <v>110</v>
      </c>
      <c r="AP33" s="117">
        <f>$AQ$32</f>
        <v>9</v>
      </c>
      <c r="AQ33" s="115" t="s">
        <v>111</v>
      </c>
      <c r="AR33" s="116">
        <f>FINV($AM$33,1,$AP$33)</f>
        <v>5.1173550291992269</v>
      </c>
      <c r="AS33" s="19"/>
      <c r="AT33" s="19"/>
      <c r="AU33" s="19"/>
    </row>
    <row r="34" spans="14:47" x14ac:dyDescent="0.25"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14:47" x14ac:dyDescent="0.25"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14:47" x14ac:dyDescent="0.25"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4:47" x14ac:dyDescent="0.25"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4:47" x14ac:dyDescent="0.25">
      <c r="N38" s="8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4:47" x14ac:dyDescent="0.25">
      <c r="N39" s="8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4:47" x14ac:dyDescent="0.25">
      <c r="AB40" s="63"/>
      <c r="AC40" s="63"/>
      <c r="AD40" s="63"/>
      <c r="AE40" s="63"/>
      <c r="AF40" s="63"/>
      <c r="AG40" s="63"/>
      <c r="AH40" s="63"/>
      <c r="AI40" s="63"/>
      <c r="AJ40" s="63"/>
      <c r="AK40" s="63"/>
    </row>
    <row r="41" spans="14:47" x14ac:dyDescent="0.25">
      <c r="AB41" s="19"/>
      <c r="AC41" s="19"/>
      <c r="AD41" s="19"/>
      <c r="AE41" s="193" t="s">
        <v>75</v>
      </c>
      <c r="AF41" s="194"/>
      <c r="AG41" s="194"/>
      <c r="AH41" s="195"/>
      <c r="AI41" s="19"/>
      <c r="AJ41" s="19"/>
      <c r="AK41" s="19"/>
    </row>
    <row r="42" spans="14:47" x14ac:dyDescent="0.25">
      <c r="AB42" s="19"/>
      <c r="AC42" s="19"/>
      <c r="AD42" s="19"/>
      <c r="AE42" s="58" t="s">
        <v>0</v>
      </c>
      <c r="AF42" s="58" t="s">
        <v>1</v>
      </c>
      <c r="AG42" s="193" t="s">
        <v>46</v>
      </c>
      <c r="AH42" s="195"/>
      <c r="AI42" s="19"/>
      <c r="AJ42" s="19"/>
      <c r="AK42" s="19"/>
    </row>
    <row r="43" spans="14:47" ht="21" customHeight="1" x14ac:dyDescent="0.25">
      <c r="AB43" s="19"/>
      <c r="AC43" s="19"/>
      <c r="AD43" s="59" t="str">
        <f>$C$6</f>
        <v>Verdampferleistung</v>
      </c>
      <c r="AE43" s="100">
        <v>-1</v>
      </c>
      <c r="AF43" s="5">
        <v>-1</v>
      </c>
      <c r="AG43" s="62">
        <f>($N5+$N9)/2</f>
        <v>82.4375</v>
      </c>
      <c r="AH43" s="61"/>
      <c r="AI43" s="19"/>
      <c r="AJ43" s="19"/>
      <c r="AK43" s="19"/>
    </row>
    <row r="44" spans="14:47" ht="18" x14ac:dyDescent="0.25">
      <c r="AB44" s="19"/>
      <c r="AC44" s="19"/>
      <c r="AD44" s="60" t="s">
        <v>83</v>
      </c>
      <c r="AE44" s="100">
        <v>1</v>
      </c>
      <c r="AF44" s="5">
        <v>-1</v>
      </c>
      <c r="AG44" s="62">
        <f>($N6+$N10)/2</f>
        <v>83.6</v>
      </c>
      <c r="AH44" s="61"/>
      <c r="AI44" s="19"/>
      <c r="AJ44" s="19"/>
      <c r="AK44" s="19"/>
    </row>
    <row r="45" spans="14:47" ht="21" customHeight="1" x14ac:dyDescent="0.25">
      <c r="AB45" s="19"/>
      <c r="AC45" s="19"/>
      <c r="AD45" s="59" t="str">
        <f>C6</f>
        <v>Verdampferleistung</v>
      </c>
      <c r="AE45" s="100">
        <v>-1</v>
      </c>
      <c r="AF45" s="5">
        <v>1</v>
      </c>
      <c r="AG45" s="62">
        <f>($N7+$N11)/2</f>
        <v>77.462500000000006</v>
      </c>
      <c r="AH45" s="61"/>
      <c r="AI45" s="19"/>
      <c r="AJ45" s="19"/>
      <c r="AK45" s="19"/>
    </row>
    <row r="46" spans="14:47" ht="18" x14ac:dyDescent="0.25">
      <c r="AB46" s="19"/>
      <c r="AC46" s="19"/>
      <c r="AD46" s="60" t="s">
        <v>84</v>
      </c>
      <c r="AE46" s="100">
        <v>1</v>
      </c>
      <c r="AF46" s="5">
        <v>1</v>
      </c>
      <c r="AG46" s="62">
        <f>($N8+$N12)/2</f>
        <v>82.699999999999989</v>
      </c>
      <c r="AH46" s="61"/>
      <c r="AI46" s="19"/>
      <c r="AJ46" s="19"/>
      <c r="AK46" s="19"/>
    </row>
    <row r="47" spans="14:47" x14ac:dyDescent="0.25"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4:47" x14ac:dyDescent="0.25"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28:37" x14ac:dyDescent="0.25"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28:37" x14ac:dyDescent="0.25"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28:37" x14ac:dyDescent="0.25"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28:37" x14ac:dyDescent="0.25"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28:37" x14ac:dyDescent="0.25"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28:37" x14ac:dyDescent="0.25"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28:37" x14ac:dyDescent="0.25">
      <c r="AB55" s="19"/>
      <c r="AC55" s="19"/>
      <c r="AD55" s="19"/>
      <c r="AE55" s="19"/>
      <c r="AF55" s="19"/>
      <c r="AG55" s="19"/>
      <c r="AH55" s="19"/>
      <c r="AI55" s="19"/>
      <c r="AJ55" s="19"/>
      <c r="AK55" s="19"/>
    </row>
    <row r="56" spans="28:37" x14ac:dyDescent="0.25"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28:37" x14ac:dyDescent="0.25"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28:37" x14ac:dyDescent="0.25"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28:37" x14ac:dyDescent="0.25"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28:37" x14ac:dyDescent="0.25"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28:37" x14ac:dyDescent="0.25"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28:37" x14ac:dyDescent="0.25"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28:37" x14ac:dyDescent="0.25"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28:37" x14ac:dyDescent="0.25"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28:37" x14ac:dyDescent="0.25">
      <c r="AB65" s="63"/>
      <c r="AC65" s="63"/>
      <c r="AD65" s="63"/>
      <c r="AE65" s="63"/>
      <c r="AF65" s="63"/>
      <c r="AG65" s="63"/>
      <c r="AH65" s="63"/>
      <c r="AI65" s="63"/>
      <c r="AJ65" s="63"/>
      <c r="AK65" s="63"/>
    </row>
    <row r="66" spans="28:37" x14ac:dyDescent="0.25">
      <c r="AB66" s="19"/>
      <c r="AC66" s="19"/>
      <c r="AD66" s="19"/>
      <c r="AE66" s="193" t="s">
        <v>76</v>
      </c>
      <c r="AF66" s="194"/>
      <c r="AG66" s="194"/>
      <c r="AH66" s="195"/>
      <c r="AI66" s="19"/>
      <c r="AJ66" s="19"/>
      <c r="AK66" s="19"/>
    </row>
    <row r="67" spans="28:37" x14ac:dyDescent="0.25">
      <c r="AB67" s="19"/>
      <c r="AC67" s="19"/>
      <c r="AD67" s="19"/>
      <c r="AE67" s="58" t="s">
        <v>0</v>
      </c>
      <c r="AF67" s="58" t="s">
        <v>25</v>
      </c>
      <c r="AG67" s="215" t="s">
        <v>46</v>
      </c>
      <c r="AH67" s="217"/>
      <c r="AI67" s="19"/>
      <c r="AJ67" s="19"/>
      <c r="AK67" s="19"/>
    </row>
    <row r="68" spans="28:37" x14ac:dyDescent="0.25">
      <c r="AB68" s="19"/>
      <c r="AC68" s="19"/>
      <c r="AD68" s="59" t="str">
        <f>$C$7</f>
        <v>Zulaufkonzentration</v>
      </c>
      <c r="AE68" s="100">
        <v>-1</v>
      </c>
      <c r="AF68" s="5">
        <v>-1</v>
      </c>
      <c r="AG68" s="62">
        <f>(N5+N7)/2</f>
        <v>79.525000000000006</v>
      </c>
      <c r="AH68" s="123"/>
      <c r="AI68" s="19"/>
      <c r="AJ68" s="19"/>
      <c r="AK68" s="19"/>
    </row>
    <row r="69" spans="28:37" ht="18" x14ac:dyDescent="0.25">
      <c r="AB69" s="19"/>
      <c r="AC69" s="19"/>
      <c r="AD69" s="60" t="s">
        <v>85</v>
      </c>
      <c r="AE69" s="100">
        <v>1</v>
      </c>
      <c r="AF69" s="5">
        <v>-1</v>
      </c>
      <c r="AG69" s="62">
        <f>(N6+N8)/2</f>
        <v>81.174999999999997</v>
      </c>
      <c r="AH69" s="123"/>
      <c r="AI69" s="19"/>
      <c r="AJ69" s="19"/>
      <c r="AK69" s="19"/>
    </row>
    <row r="70" spans="28:37" x14ac:dyDescent="0.25">
      <c r="AB70" s="19"/>
      <c r="AC70" s="19"/>
      <c r="AD70" s="59" t="str">
        <f>$C$7</f>
        <v>Zulaufkonzentration</v>
      </c>
      <c r="AE70" s="100">
        <v>-1</v>
      </c>
      <c r="AF70" s="5">
        <v>1</v>
      </c>
      <c r="AG70" s="62">
        <f>(N9+N11)/2</f>
        <v>80.375</v>
      </c>
      <c r="AH70" s="123"/>
      <c r="AI70" s="19"/>
      <c r="AJ70" s="19"/>
      <c r="AK70" s="19"/>
    </row>
    <row r="71" spans="28:37" ht="18" x14ac:dyDescent="0.25">
      <c r="AB71" s="19"/>
      <c r="AC71" s="19"/>
      <c r="AD71" s="60" t="s">
        <v>86</v>
      </c>
      <c r="AE71" s="100">
        <v>1</v>
      </c>
      <c r="AF71" s="5">
        <v>1</v>
      </c>
      <c r="AG71" s="62">
        <f>(N10+N12)/2</f>
        <v>85.125</v>
      </c>
      <c r="AH71" s="123"/>
      <c r="AI71" s="19"/>
      <c r="AJ71" s="19"/>
      <c r="AK71" s="19"/>
    </row>
    <row r="72" spans="28:37" x14ac:dyDescent="0.25"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8:37" x14ac:dyDescent="0.25"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8:37" x14ac:dyDescent="0.25"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8:37" x14ac:dyDescent="0.25"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8:37" x14ac:dyDescent="0.25"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8:37" x14ac:dyDescent="0.25"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8:37" x14ac:dyDescent="0.25"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8:37" x14ac:dyDescent="0.25"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8:37" x14ac:dyDescent="0.25"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8:37" x14ac:dyDescent="0.25"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28:37" x14ac:dyDescent="0.25"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28:37" x14ac:dyDescent="0.25"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28:37" x14ac:dyDescent="0.25"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28:37" x14ac:dyDescent="0.25"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28:37" x14ac:dyDescent="0.25"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28:37" x14ac:dyDescent="0.25">
      <c r="AB87" s="19"/>
      <c r="AC87" s="19"/>
      <c r="AD87" s="19"/>
      <c r="AE87" s="19"/>
      <c r="AF87" s="19"/>
      <c r="AG87" s="19"/>
      <c r="AH87" s="19"/>
      <c r="AI87" s="19"/>
      <c r="AJ87" s="19"/>
      <c r="AK87" s="19"/>
    </row>
    <row r="88" spans="28:37" x14ac:dyDescent="0.25">
      <c r="AB88" s="19"/>
      <c r="AC88" s="19"/>
      <c r="AD88" s="19"/>
      <c r="AE88" s="19"/>
      <c r="AF88" s="19"/>
      <c r="AG88" s="19"/>
      <c r="AH88" s="19"/>
      <c r="AI88" s="19"/>
      <c r="AJ88" s="19"/>
      <c r="AK88" s="19"/>
    </row>
    <row r="89" spans="28:37" x14ac:dyDescent="0.25">
      <c r="AB89" s="19"/>
      <c r="AC89" s="19"/>
      <c r="AD89" s="19"/>
      <c r="AE89" s="19"/>
      <c r="AF89" s="19"/>
      <c r="AG89" s="19"/>
      <c r="AH89" s="19"/>
      <c r="AI89" s="19"/>
      <c r="AJ89" s="19"/>
      <c r="AK89" s="19"/>
    </row>
    <row r="90" spans="28:37" x14ac:dyDescent="0.25">
      <c r="AB90" s="19"/>
      <c r="AC90" s="19"/>
      <c r="AD90" s="19"/>
      <c r="AE90" s="19"/>
      <c r="AF90" s="19"/>
      <c r="AG90" s="19"/>
      <c r="AH90" s="19"/>
      <c r="AI90" s="19"/>
      <c r="AJ90" s="19"/>
      <c r="AK90" s="19"/>
    </row>
    <row r="91" spans="28:37" x14ac:dyDescent="0.25">
      <c r="AB91" s="19"/>
      <c r="AC91" s="19"/>
      <c r="AD91" s="19"/>
      <c r="AE91" s="19"/>
      <c r="AF91" s="19"/>
      <c r="AG91" s="19"/>
      <c r="AH91" s="19"/>
      <c r="AI91" s="19"/>
      <c r="AJ91" s="19"/>
      <c r="AK91" s="19"/>
    </row>
    <row r="92" spans="28:37" x14ac:dyDescent="0.25">
      <c r="AB92" s="63"/>
      <c r="AC92" s="63"/>
      <c r="AD92" s="63"/>
      <c r="AE92" s="63"/>
      <c r="AF92" s="63"/>
      <c r="AG92" s="63"/>
      <c r="AH92" s="63"/>
      <c r="AI92" s="63"/>
      <c r="AJ92" s="63"/>
      <c r="AK92" s="63"/>
    </row>
    <row r="93" spans="28:37" x14ac:dyDescent="0.25">
      <c r="AB93" s="19"/>
      <c r="AC93" s="19"/>
      <c r="AD93" s="19"/>
      <c r="AE93" s="193" t="s">
        <v>77</v>
      </c>
      <c r="AF93" s="194"/>
      <c r="AG93" s="194"/>
      <c r="AH93" s="195"/>
      <c r="AI93" s="19"/>
      <c r="AJ93" s="19"/>
      <c r="AK93" s="19"/>
    </row>
    <row r="94" spans="28:37" x14ac:dyDescent="0.25">
      <c r="AB94" s="19"/>
      <c r="AC94" s="19"/>
      <c r="AD94" s="19"/>
      <c r="AE94" s="58" t="s">
        <v>1</v>
      </c>
      <c r="AF94" s="58" t="s">
        <v>25</v>
      </c>
      <c r="AG94" s="193" t="s">
        <v>46</v>
      </c>
      <c r="AH94" s="195"/>
      <c r="AI94" s="19"/>
      <c r="AJ94" s="19"/>
      <c r="AK94" s="19"/>
    </row>
    <row r="95" spans="28:37" x14ac:dyDescent="0.25">
      <c r="AB95" s="19"/>
      <c r="AC95" s="19"/>
      <c r="AD95" s="59" t="str">
        <f>$C$7</f>
        <v>Zulaufkonzentration</v>
      </c>
      <c r="AE95" s="100">
        <v>-1</v>
      </c>
      <c r="AF95" s="5">
        <v>-1</v>
      </c>
      <c r="AG95" s="62">
        <f>(N5+N6)/2</f>
        <v>82.237500000000011</v>
      </c>
      <c r="AH95" s="61"/>
      <c r="AI95" s="19"/>
      <c r="AJ95" s="19"/>
      <c r="AK95" s="19"/>
    </row>
    <row r="96" spans="28:37" ht="18" x14ac:dyDescent="0.25">
      <c r="AB96" s="19"/>
      <c r="AC96" s="19"/>
      <c r="AD96" s="60" t="s">
        <v>85</v>
      </c>
      <c r="AE96" s="100">
        <v>1</v>
      </c>
      <c r="AF96" s="5">
        <v>-1</v>
      </c>
      <c r="AG96" s="62">
        <f>(N7+N8)/2</f>
        <v>78.462500000000006</v>
      </c>
      <c r="AH96" s="61"/>
      <c r="AI96" s="19"/>
      <c r="AJ96" s="19"/>
      <c r="AK96" s="19"/>
    </row>
    <row r="97" spans="28:37" x14ac:dyDescent="0.25">
      <c r="AB97" s="19"/>
      <c r="AC97" s="19"/>
      <c r="AD97" s="59" t="str">
        <f>$C$7</f>
        <v>Zulaufkonzentration</v>
      </c>
      <c r="AE97" s="100">
        <v>-1</v>
      </c>
      <c r="AF97" s="5">
        <v>1</v>
      </c>
      <c r="AG97" s="62">
        <f>(N9+N10)/2</f>
        <v>83.800000000000011</v>
      </c>
      <c r="AH97" s="61"/>
      <c r="AI97" s="19"/>
      <c r="AJ97" s="19"/>
      <c r="AK97" s="19"/>
    </row>
    <row r="98" spans="28:37" ht="18" x14ac:dyDescent="0.25">
      <c r="AB98" s="19"/>
      <c r="AC98" s="19"/>
      <c r="AD98" s="60" t="s">
        <v>87</v>
      </c>
      <c r="AE98" s="100">
        <v>1</v>
      </c>
      <c r="AF98" s="5">
        <v>1</v>
      </c>
      <c r="AG98" s="62">
        <f>(N11+N12)/2</f>
        <v>81.7</v>
      </c>
      <c r="AH98" s="61"/>
      <c r="AI98" s="19"/>
      <c r="AJ98" s="19"/>
      <c r="AK98" s="19"/>
    </row>
    <row r="99" spans="28:37" x14ac:dyDescent="0.25"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28:37" x14ac:dyDescent="0.25"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28:37" x14ac:dyDescent="0.25"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28:37" x14ac:dyDescent="0.25"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28:37" x14ac:dyDescent="0.25"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28:37" x14ac:dyDescent="0.25"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28:37" x14ac:dyDescent="0.25"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28:37" x14ac:dyDescent="0.25"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28:37" x14ac:dyDescent="0.25"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28:37" x14ac:dyDescent="0.25"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28:37" x14ac:dyDescent="0.25"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28:37" x14ac:dyDescent="0.25"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</row>
    <row r="111" spans="28:37" x14ac:dyDescent="0.25"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</row>
    <row r="112" spans="28:37" x14ac:dyDescent="0.25"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</row>
    <row r="113" spans="28:37" x14ac:dyDescent="0.25"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</row>
    <row r="114" spans="28:37" x14ac:dyDescent="0.25"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</row>
    <row r="115" spans="28:37" x14ac:dyDescent="0.25"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</row>
    <row r="116" spans="28:37" x14ac:dyDescent="0.25"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</row>
    <row r="117" spans="28:37" x14ac:dyDescent="0.25"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</row>
    <row r="118" spans="28:37" x14ac:dyDescent="0.25"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</row>
    <row r="119" spans="28:37" x14ac:dyDescent="0.25"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</row>
    <row r="120" spans="28:37" x14ac:dyDescent="0.25"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</row>
    <row r="121" spans="28:37" x14ac:dyDescent="0.25"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</row>
    <row r="122" spans="28:37" x14ac:dyDescent="0.25"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</row>
    <row r="123" spans="28:37" x14ac:dyDescent="0.25"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</row>
    <row r="124" spans="28:37" x14ac:dyDescent="0.25"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</row>
    <row r="125" spans="28:37" x14ac:dyDescent="0.25"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28:37" x14ac:dyDescent="0.25"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</row>
    <row r="127" spans="28:37" x14ac:dyDescent="0.25"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</row>
    <row r="128" spans="28:37" x14ac:dyDescent="0.25"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</row>
    <row r="129" spans="28:37" x14ac:dyDescent="0.25"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</row>
    <row r="130" spans="28:37" x14ac:dyDescent="0.25"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</row>
    <row r="131" spans="28:37" x14ac:dyDescent="0.25"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</row>
    <row r="132" spans="28:37" x14ac:dyDescent="0.25"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</row>
    <row r="133" spans="28:37" x14ac:dyDescent="0.25"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</row>
    <row r="134" spans="28:37" x14ac:dyDescent="0.25"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</row>
    <row r="135" spans="28:37" x14ac:dyDescent="0.25"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</row>
    <row r="136" spans="28:37" x14ac:dyDescent="0.25"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</row>
    <row r="137" spans="28:37" x14ac:dyDescent="0.25"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</row>
    <row r="138" spans="28:37" x14ac:dyDescent="0.25"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</row>
    <row r="139" spans="28:37" x14ac:dyDescent="0.25"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</row>
  </sheetData>
  <mergeCells count="21">
    <mergeCell ref="F3:G3"/>
    <mergeCell ref="R3:Y3"/>
    <mergeCell ref="AD3:AJ3"/>
    <mergeCell ref="AL3:AM3"/>
    <mergeCell ref="AM5:AN5"/>
    <mergeCell ref="L3:N3"/>
    <mergeCell ref="AM6:AN6"/>
    <mergeCell ref="AM7:AN7"/>
    <mergeCell ref="AM8:AN8"/>
    <mergeCell ref="AM9:AN9"/>
    <mergeCell ref="AM10:AN10"/>
    <mergeCell ref="AG94:AH94"/>
    <mergeCell ref="AM11:AN11"/>
    <mergeCell ref="AM12:AN12"/>
    <mergeCell ref="AD15:AJ15"/>
    <mergeCell ref="AE41:AH41"/>
    <mergeCell ref="AL19:AN19"/>
    <mergeCell ref="AG42:AH42"/>
    <mergeCell ref="AE66:AH66"/>
    <mergeCell ref="AG67:AH67"/>
    <mergeCell ref="AE93:AH93"/>
  </mergeCells>
  <conditionalFormatting sqref="AS21:AS28 AT22:AT27">
    <cfRule type="cellIs" dxfId="2" priority="11" operator="equal">
      <formula>"signifikant"</formula>
    </cfRule>
  </conditionalFormatting>
  <conditionalFormatting sqref="AR16 AT21:AT28">
    <cfRule type="cellIs" dxfId="1" priority="10" operator="equal">
      <formula>1</formula>
    </cfRule>
  </conditionalFormatting>
  <conditionalFormatting sqref="AU28">
    <cfRule type="cellIs" dxfId="0" priority="1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scale="22" orientation="landscape" verticalDpi="2" r:id="rId1"/>
  <ignoredErrors>
    <ignoredError sqref="U5:U6 U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Anleitung</vt:lpstr>
      <vt:lpstr>Produktmenge_Chemiereaktor</vt:lpstr>
      <vt:lpstr>Adhaesion_Verklebung</vt:lpstr>
      <vt:lpstr>Durchlaufzeit_Angebot</vt:lpstr>
      <vt:lpstr>Dest.Konz. (doppelt ausgeführt)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2018-05-01T13:20:48Z</dcterms:modified>
</cp:coreProperties>
</file>