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ml.chartshapes+xml"/>
  <Override PartName="/xl/charts/chart8.xml" ContentType="application/vnd.openxmlformats-officedocument.drawingml.chart+xml"/>
  <Override PartName="/xl/drawings/drawing1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bookViews>
  <sheets>
    <sheet name="Instructions" sheetId="19" r:id="rId1"/>
    <sheet name="Prod Quant Chem Reactor" sheetId="11" r:id="rId2"/>
    <sheet name="Yield Hidden Effects" sheetId="18" r:id="rId3"/>
    <sheet name="Surf Rough Turned Parts" sheetId="12" r:id="rId4"/>
  </sheets>
  <definedNames>
    <definedName name="solver_adj" localSheetId="1" hidden="1">'Prod Quant Chem Reactor'!$AZ$6:$AZ$7</definedName>
    <definedName name="solver_adj" localSheetId="3" hidden="1">'Surf Rough Turned Parts'!$AV$6:$AV$7</definedName>
    <definedName name="solver_adj" localSheetId="2" hidden="1">'Yield Hidden Effects'!$AV$6:$AV$7</definedName>
    <definedName name="solver_cvg" localSheetId="1" hidden="1">0.0001</definedName>
    <definedName name="solver_cvg" localSheetId="3" hidden="1">0.0001</definedName>
    <definedName name="solver_cvg" localSheetId="2" hidden="1">0.0001</definedName>
    <definedName name="solver_drv" localSheetId="1" hidden="1">1</definedName>
    <definedName name="solver_drv" localSheetId="3" hidden="1">1</definedName>
    <definedName name="solver_drv" localSheetId="2" hidden="1">1</definedName>
    <definedName name="solver_est" localSheetId="1" hidden="1">1</definedName>
    <definedName name="solver_est" localSheetId="3" hidden="1">1</definedName>
    <definedName name="solver_est" localSheetId="2" hidden="1">1</definedName>
    <definedName name="solver_itr" localSheetId="1" hidden="1">100</definedName>
    <definedName name="solver_itr" localSheetId="3" hidden="1">100</definedName>
    <definedName name="solver_itr" localSheetId="2" hidden="1">100</definedName>
    <definedName name="solver_lhs1" localSheetId="1" hidden="1">'Prod Quant Chem Reactor'!$AZ$6</definedName>
    <definedName name="solver_lhs1" localSheetId="3" hidden="1">'Surf Rough Turned Parts'!$AV$6</definedName>
    <definedName name="solver_lhs1" localSheetId="2" hidden="1">'Yield Hidden Effects'!$AV$6</definedName>
    <definedName name="solver_lhs2" localSheetId="1" hidden="1">'Prod Quant Chem Reactor'!$AZ$6</definedName>
    <definedName name="solver_lhs2" localSheetId="3" hidden="1">'Surf Rough Turned Parts'!$AV$6</definedName>
    <definedName name="solver_lhs2" localSheetId="2" hidden="1">'Yield Hidden Effects'!$AV$6</definedName>
    <definedName name="solver_lhs3" localSheetId="1" hidden="1">'Prod Quant Chem Reactor'!$AZ$7</definedName>
    <definedName name="solver_lhs3" localSheetId="3" hidden="1">'Surf Rough Turned Parts'!$AV$7</definedName>
    <definedName name="solver_lhs3" localSheetId="2" hidden="1">'Yield Hidden Effects'!$AV$7</definedName>
    <definedName name="solver_lhs4" localSheetId="1" hidden="1">'Prod Quant Chem Reactor'!$AZ$7</definedName>
    <definedName name="solver_lhs4" localSheetId="3" hidden="1">'Surf Rough Turned Parts'!$AV$7</definedName>
    <definedName name="solver_lhs4" localSheetId="2" hidden="1">'Yield Hidden Effects'!$AV$7</definedName>
    <definedName name="solver_lhs5" localSheetId="1" hidden="1">'Prod Quant Chem Reactor'!#REF!</definedName>
    <definedName name="solver_lhs5" localSheetId="3" hidden="1">'Surf Rough Turned Parts'!#REF!</definedName>
    <definedName name="solver_lhs5" localSheetId="2" hidden="1">'Yield Hidden Effects'!#REF!</definedName>
    <definedName name="solver_lhs6" localSheetId="1" hidden="1">'Prod Quant Chem Reactor'!#REF!</definedName>
    <definedName name="solver_lhs6" localSheetId="3" hidden="1">'Surf Rough Turned Parts'!#REF!</definedName>
    <definedName name="solver_lhs6" localSheetId="2" hidden="1">'Yield Hidden Effects'!#REF!</definedName>
    <definedName name="solver_lin" localSheetId="1" hidden="1">2</definedName>
    <definedName name="solver_lin" localSheetId="3" hidden="1">2</definedName>
    <definedName name="solver_lin" localSheetId="2" hidden="1">2</definedName>
    <definedName name="solver_neg" localSheetId="1" hidden="1">2</definedName>
    <definedName name="solver_neg" localSheetId="3" hidden="1">2</definedName>
    <definedName name="solver_neg" localSheetId="2" hidden="1">2</definedName>
    <definedName name="solver_num" localSheetId="1" hidden="1">6</definedName>
    <definedName name="solver_num" localSheetId="3" hidden="1">6</definedName>
    <definedName name="solver_num" localSheetId="2" hidden="1">6</definedName>
    <definedName name="solver_nwt" localSheetId="1" hidden="1">1</definedName>
    <definedName name="solver_nwt" localSheetId="3" hidden="1">1</definedName>
    <definedName name="solver_nwt" localSheetId="2" hidden="1">1</definedName>
    <definedName name="solver_opt" localSheetId="1" hidden="1">'Prod Quant Chem Reactor'!$AZ$8</definedName>
    <definedName name="solver_opt" localSheetId="3" hidden="1">'Surf Rough Turned Parts'!$AV$8</definedName>
    <definedName name="solver_opt" localSheetId="2" hidden="1">'Yield Hidden Effects'!$AV$8</definedName>
    <definedName name="solver_pre" localSheetId="1" hidden="1">0.000001</definedName>
    <definedName name="solver_pre" localSheetId="3" hidden="1">0.000001</definedName>
    <definedName name="solver_pre" localSheetId="2" hidden="1">0.000001</definedName>
    <definedName name="solver_rel1" localSheetId="1" hidden="1">1</definedName>
    <definedName name="solver_rel1" localSheetId="3" hidden="1">1</definedName>
    <definedName name="solver_rel1" localSheetId="2" hidden="1">1</definedName>
    <definedName name="solver_rel2" localSheetId="1" hidden="1">3</definedName>
    <definedName name="solver_rel2" localSheetId="3" hidden="1">3</definedName>
    <definedName name="solver_rel2" localSheetId="2" hidden="1">3</definedName>
    <definedName name="solver_rel3" localSheetId="1" hidden="1">1</definedName>
    <definedName name="solver_rel3" localSheetId="3" hidden="1">1</definedName>
    <definedName name="solver_rel3" localSheetId="2" hidden="1">1</definedName>
    <definedName name="solver_rel4" localSheetId="1" hidden="1">3</definedName>
    <definedName name="solver_rel4" localSheetId="3" hidden="1">3</definedName>
    <definedName name="solver_rel4" localSheetId="2" hidden="1">3</definedName>
    <definedName name="solver_rel5" localSheetId="1" hidden="1">1</definedName>
    <definedName name="solver_rel5" localSheetId="3" hidden="1">1</definedName>
    <definedName name="solver_rel5" localSheetId="2" hidden="1">1</definedName>
    <definedName name="solver_rel6" localSheetId="1" hidden="1">3</definedName>
    <definedName name="solver_rel6" localSheetId="3" hidden="1">3</definedName>
    <definedName name="solver_rel6" localSheetId="2" hidden="1">3</definedName>
    <definedName name="solver_rhs1" localSheetId="1" hidden="1">1</definedName>
    <definedName name="solver_rhs1" localSheetId="3" hidden="1">1</definedName>
    <definedName name="solver_rhs1" localSheetId="2" hidden="1">1</definedName>
    <definedName name="solver_rhs2" localSheetId="1" hidden="1">-1</definedName>
    <definedName name="solver_rhs2" localSheetId="3" hidden="1">-1</definedName>
    <definedName name="solver_rhs2" localSheetId="2" hidden="1">-1</definedName>
    <definedName name="solver_rhs3" localSheetId="1" hidden="1">1</definedName>
    <definedName name="solver_rhs3" localSheetId="3" hidden="1">1</definedName>
    <definedName name="solver_rhs3" localSheetId="2" hidden="1">1</definedName>
    <definedName name="solver_rhs4" localSheetId="1" hidden="1">-1</definedName>
    <definedName name="solver_rhs4" localSheetId="3" hidden="1">-1</definedName>
    <definedName name="solver_rhs4" localSheetId="2" hidden="1">-1</definedName>
    <definedName name="solver_rhs5" localSheetId="1" hidden="1">1</definedName>
    <definedName name="solver_rhs5" localSheetId="3" hidden="1">1</definedName>
    <definedName name="solver_rhs5" localSheetId="2" hidden="1">1</definedName>
    <definedName name="solver_rhs6" localSheetId="1" hidden="1">-1</definedName>
    <definedName name="solver_rhs6" localSheetId="3" hidden="1">-1</definedName>
    <definedName name="solver_rhs6" localSheetId="2" hidden="1">-1</definedName>
    <definedName name="solver_scl" localSheetId="1" hidden="1">2</definedName>
    <definedName name="solver_scl" localSheetId="3" hidden="1">2</definedName>
    <definedName name="solver_scl" localSheetId="2" hidden="1">2</definedName>
    <definedName name="solver_sho" localSheetId="1" hidden="1">2</definedName>
    <definedName name="solver_sho" localSheetId="3" hidden="1">2</definedName>
    <definedName name="solver_sho" localSheetId="2" hidden="1">2</definedName>
    <definedName name="solver_tim" localSheetId="1" hidden="1">100</definedName>
    <definedName name="solver_tim" localSheetId="3" hidden="1">100</definedName>
    <definedName name="solver_tim" localSheetId="2" hidden="1">100</definedName>
    <definedName name="solver_tol" localSheetId="1" hidden="1">0.05</definedName>
    <definedName name="solver_tol" localSheetId="3" hidden="1">0.05</definedName>
    <definedName name="solver_tol" localSheetId="2" hidden="1">0.05</definedName>
    <definedName name="solver_typ" localSheetId="1" hidden="1">1</definedName>
    <definedName name="solver_typ" localSheetId="3" hidden="1">1</definedName>
    <definedName name="solver_typ" localSheetId="2" hidden="1">1</definedName>
    <definedName name="solver_val" localSheetId="1" hidden="1">0</definedName>
    <definedName name="solver_val" localSheetId="3" hidden="1">0</definedName>
    <definedName name="solver_val" localSheetId="2" hidden="1">0</definedName>
  </definedNames>
  <calcPr calcId="145621"/>
</workbook>
</file>

<file path=xl/calcChain.xml><?xml version="1.0" encoding="utf-8"?>
<calcChain xmlns="http://schemas.openxmlformats.org/spreadsheetml/2006/main">
  <c r="I3" i="12" l="1"/>
  <c r="AA12" i="12"/>
  <c r="AA3" i="12"/>
  <c r="S3" i="12"/>
  <c r="AI3" i="12"/>
  <c r="AT1" i="12"/>
  <c r="I3" i="18"/>
  <c r="AS1" i="18"/>
  <c r="D4" i="12" l="1"/>
  <c r="AU5" i="12" l="1"/>
  <c r="AU5" i="18"/>
  <c r="AP4" i="12"/>
  <c r="AN4" i="12"/>
  <c r="AK3" i="12"/>
  <c r="X4" i="12"/>
  <c r="R3" i="12"/>
  <c r="E4" i="12"/>
  <c r="F4" i="12"/>
  <c r="G4" i="12"/>
  <c r="C4" i="12"/>
  <c r="F3" i="12"/>
  <c r="C3" i="12"/>
  <c r="AH1" i="12"/>
  <c r="R1" i="12"/>
  <c r="I1" i="12"/>
  <c r="C1" i="12"/>
  <c r="C1" i="18"/>
  <c r="AP4" i="18" l="1"/>
  <c r="AN4" i="18"/>
  <c r="AG3" i="18"/>
  <c r="AG1" i="18"/>
  <c r="Z3" i="18"/>
  <c r="W4" i="18"/>
  <c r="R3" i="18"/>
  <c r="Q3" i="18"/>
  <c r="Q1" i="18"/>
  <c r="I1" i="18"/>
  <c r="D4" i="18"/>
  <c r="E4" i="18"/>
  <c r="F4" i="18"/>
  <c r="G4" i="18"/>
  <c r="C4" i="18"/>
  <c r="F3" i="18"/>
  <c r="C3" i="18"/>
  <c r="AL4" i="11" l="1"/>
  <c r="AG4" i="18" l="1"/>
  <c r="AH4" i="12"/>
  <c r="BQ6" i="18"/>
  <c r="BQ5" i="18"/>
  <c r="AA15" i="18"/>
  <c r="BR6" i="18" l="1"/>
  <c r="BR5" i="18"/>
  <c r="BS1" i="18"/>
  <c r="BU6" i="18" s="1"/>
  <c r="BT6" i="18" s="1"/>
  <c r="BU5" i="18" l="1"/>
  <c r="BT5" i="18" s="1"/>
  <c r="BS6" i="18"/>
  <c r="AV16" i="11"/>
  <c r="AV17" i="11"/>
  <c r="AV15" i="11"/>
  <c r="AR16" i="11"/>
  <c r="AR15" i="11"/>
  <c r="AR12" i="11"/>
  <c r="BS5" i="18" l="1"/>
  <c r="AA43" i="18" l="1"/>
  <c r="AB43" i="18"/>
  <c r="Z42" i="18"/>
  <c r="AB41" i="18"/>
  <c r="AA42" i="18"/>
  <c r="Z40" i="18"/>
  <c r="AN49" i="18"/>
  <c r="AW73" i="18"/>
  <c r="AW74" i="18"/>
  <c r="AW45" i="18"/>
  <c r="AW46" i="18"/>
  <c r="AW47" i="18"/>
  <c r="AW48" i="18"/>
  <c r="AW49" i="18"/>
  <c r="AW50" i="18"/>
  <c r="AW51" i="18"/>
  <c r="AW52" i="18"/>
  <c r="AW53" i="18"/>
  <c r="AW54" i="18"/>
  <c r="AW55" i="18"/>
  <c r="AW56" i="18"/>
  <c r="AW57" i="18"/>
  <c r="AW58" i="18"/>
  <c r="AW59" i="18"/>
  <c r="AW60" i="18"/>
  <c r="AW61" i="18"/>
  <c r="AW62" i="18"/>
  <c r="AW63" i="18"/>
  <c r="AW64" i="18"/>
  <c r="AW65" i="18"/>
  <c r="AW66" i="18"/>
  <c r="AW67" i="18"/>
  <c r="AW68" i="18"/>
  <c r="AW69" i="18"/>
  <c r="AW70" i="18"/>
  <c r="AW71" i="18"/>
  <c r="AW72" i="18"/>
  <c r="AW44" i="18"/>
  <c r="AG42" i="18"/>
  <c r="AM49" i="18" s="1"/>
  <c r="AG40" i="18"/>
  <c r="AH40" i="18" s="1"/>
  <c r="AO56" i="18"/>
  <c r="AO57" i="18" s="1"/>
  <c r="AO54" i="18"/>
  <c r="AO55" i="18" s="1"/>
  <c r="AN54" i="18"/>
  <c r="AN56" i="18" s="1"/>
  <c r="AN55" i="18"/>
  <c r="AN57" i="18" s="1"/>
  <c r="AH42" i="18"/>
  <c r="AM56" i="18"/>
  <c r="AM54" i="18"/>
  <c r="AM16" i="18"/>
  <c r="AM15" i="18"/>
  <c r="AB15" i="18"/>
  <c r="AB14" i="18"/>
  <c r="AA14" i="18"/>
  <c r="AM12" i="18"/>
  <c r="W8" i="18"/>
  <c r="AQ57" i="18" s="1"/>
  <c r="AY42" i="18" s="1"/>
  <c r="U8" i="18"/>
  <c r="AV7" i="18"/>
  <c r="BL7" i="18" s="1"/>
  <c r="W7" i="18"/>
  <c r="AQ56" i="18" s="1"/>
  <c r="AY40" i="18" s="1"/>
  <c r="S7" i="18"/>
  <c r="U7" i="18" s="1"/>
  <c r="I7" i="18"/>
  <c r="AV6" i="18"/>
  <c r="BJ7" i="18" s="1"/>
  <c r="W6" i="18"/>
  <c r="AQ55" i="18" s="1"/>
  <c r="AI42" i="18" s="1"/>
  <c r="T6" i="18"/>
  <c r="U6" i="18" s="1"/>
  <c r="I6" i="18"/>
  <c r="W5" i="18"/>
  <c r="AQ54" i="18" s="1"/>
  <c r="T5" i="18"/>
  <c r="S5" i="18"/>
  <c r="Z5" i="18" s="1"/>
  <c r="M5" i="18"/>
  <c r="K5" i="18"/>
  <c r="I5" i="18"/>
  <c r="AI4" i="18"/>
  <c r="AH4" i="18"/>
  <c r="L4" i="18"/>
  <c r="K4" i="18"/>
  <c r="I4" i="18"/>
  <c r="M3" i="18"/>
  <c r="K3" i="18"/>
  <c r="AD67" i="11"/>
  <c r="AD65" i="11"/>
  <c r="AA40" i="12"/>
  <c r="AA42" i="12"/>
  <c r="AM16" i="12"/>
  <c r="AM15" i="12"/>
  <c r="AC15" i="12"/>
  <c r="AB15" i="12"/>
  <c r="AC14" i="12"/>
  <c r="AB14" i="12"/>
  <c r="AM12" i="12"/>
  <c r="X8" i="12"/>
  <c r="AB8" i="12" s="1"/>
  <c r="V8" i="12"/>
  <c r="AV7" i="12"/>
  <c r="BL7" i="12" s="1"/>
  <c r="X7" i="12"/>
  <c r="AD42" i="12" s="1"/>
  <c r="T7" i="12"/>
  <c r="V7" i="12" s="1"/>
  <c r="I7" i="12"/>
  <c r="AV6" i="12"/>
  <c r="BJ7" i="12" s="1"/>
  <c r="X6" i="12"/>
  <c r="AD41" i="12" s="1"/>
  <c r="U6" i="12"/>
  <c r="V6" i="12" s="1"/>
  <c r="I6" i="12"/>
  <c r="X5" i="12"/>
  <c r="U5" i="12"/>
  <c r="T5" i="12"/>
  <c r="AA5" i="12" s="1"/>
  <c r="M5" i="12"/>
  <c r="K5" i="12"/>
  <c r="I5" i="12"/>
  <c r="AJ4" i="12"/>
  <c r="AI4" i="12"/>
  <c r="L4" i="12"/>
  <c r="K4" i="12"/>
  <c r="I4" i="12"/>
  <c r="M3" i="12"/>
  <c r="K3" i="12"/>
  <c r="AD40" i="11"/>
  <c r="AD42" i="11"/>
  <c r="X8" i="11"/>
  <c r="V7" i="11"/>
  <c r="W6" i="11"/>
  <c r="W5" i="11"/>
  <c r="V5" i="11"/>
  <c r="AC6" i="12" l="1"/>
  <c r="BL6" i="18"/>
  <c r="AW40" i="18"/>
  <c r="AG41" i="18"/>
  <c r="AH41" i="18" s="1"/>
  <c r="AM45" i="18"/>
  <c r="AM48" i="18"/>
  <c r="AC40" i="18"/>
  <c r="AC41" i="18"/>
  <c r="AW42" i="18"/>
  <c r="AX42" i="18" s="1"/>
  <c r="AM46" i="18"/>
  <c r="AC42" i="18"/>
  <c r="AC43" i="18"/>
  <c r="AB6" i="18"/>
  <c r="AI40" i="18"/>
  <c r="AB8" i="18"/>
  <c r="Z8" i="18"/>
  <c r="AB7" i="18"/>
  <c r="Z7" i="18"/>
  <c r="AA5" i="18"/>
  <c r="U5" i="18"/>
  <c r="AB5" i="18" s="1"/>
  <c r="AB9" i="18" s="1"/>
  <c r="AA6" i="18"/>
  <c r="BL5" i="18"/>
  <c r="Z6" i="18"/>
  <c r="AA7" i="18"/>
  <c r="AA8" i="18"/>
  <c r="W9" i="18"/>
  <c r="AJ5" i="18" s="1"/>
  <c r="BL6" i="12"/>
  <c r="AC8" i="12"/>
  <c r="AA8" i="12"/>
  <c r="AD43" i="12"/>
  <c r="X9" i="12"/>
  <c r="AK5" i="12" s="1"/>
  <c r="BN4" i="12" s="1"/>
  <c r="AC7" i="12"/>
  <c r="AA7" i="12"/>
  <c r="AB5" i="12"/>
  <c r="AD40" i="12"/>
  <c r="V5" i="12"/>
  <c r="AC5" i="12" s="1"/>
  <c r="AB6" i="12"/>
  <c r="BL5" i="12"/>
  <c r="AA6" i="12"/>
  <c r="AB7" i="12"/>
  <c r="K5" i="11"/>
  <c r="K4" i="11"/>
  <c r="M4" i="11"/>
  <c r="N4" i="11"/>
  <c r="AF15" i="11"/>
  <c r="AE15" i="11"/>
  <c r="AF14" i="11"/>
  <c r="AE14" i="11"/>
  <c r="Z8" i="11"/>
  <c r="AG68" i="11" s="1"/>
  <c r="Z7" i="11"/>
  <c r="AG66" i="11" s="1"/>
  <c r="X7" i="11"/>
  <c r="K7" i="11"/>
  <c r="Z6" i="11"/>
  <c r="AG67" i="11" s="1"/>
  <c r="X6" i="11"/>
  <c r="K6" i="11"/>
  <c r="AZ7" i="11"/>
  <c r="BP7" i="11" s="1"/>
  <c r="Z5" i="11"/>
  <c r="X5" i="11"/>
  <c r="O5" i="11"/>
  <c r="M5" i="11"/>
  <c r="AZ6" i="11"/>
  <c r="BP5" i="11" s="1"/>
  <c r="AN4" i="11"/>
  <c r="AM4" i="11"/>
  <c r="O3" i="11"/>
  <c r="M3" i="11"/>
  <c r="Z9" i="18" l="1"/>
  <c r="AA9" i="18"/>
  <c r="AB17" i="12"/>
  <c r="AA9" i="12"/>
  <c r="AO40" i="18"/>
  <c r="AC9" i="12"/>
  <c r="AI8" i="12" s="1"/>
  <c r="AL8" i="12" s="1"/>
  <c r="AM8" i="12" s="1"/>
  <c r="AC16" i="12"/>
  <c r="AW41" i="18"/>
  <c r="AX40" i="18"/>
  <c r="AB16" i="12"/>
  <c r="AM40" i="18"/>
  <c r="AA17" i="18"/>
  <c r="AT40" i="18"/>
  <c r="AB17" i="18"/>
  <c r="AH8" i="18"/>
  <c r="AJ8" i="18" s="1"/>
  <c r="BH7" i="18" s="1"/>
  <c r="BN4" i="18"/>
  <c r="AA16" i="18"/>
  <c r="AH7" i="18"/>
  <c r="AB16" i="18"/>
  <c r="AH6" i="18"/>
  <c r="AG40" i="11"/>
  <c r="AG65" i="11"/>
  <c r="AB9" i="12"/>
  <c r="AI7" i="12" s="1"/>
  <c r="AL7" i="12" s="1"/>
  <c r="AM7" i="12" s="1"/>
  <c r="AK8" i="12"/>
  <c r="BH7" i="12" s="1"/>
  <c r="AI6" i="12"/>
  <c r="AL6" i="12" s="1"/>
  <c r="AC17" i="12"/>
  <c r="AE6" i="11"/>
  <c r="AG41" i="11"/>
  <c r="AE7" i="11"/>
  <c r="AG42" i="11"/>
  <c r="AE8" i="11"/>
  <c r="AG43" i="11"/>
  <c r="Z9" i="11"/>
  <c r="AF7" i="11"/>
  <c r="AF8" i="11"/>
  <c r="AD8" i="11"/>
  <c r="AD7" i="11"/>
  <c r="AF6" i="11"/>
  <c r="AD6" i="11"/>
  <c r="AF5" i="11"/>
  <c r="BN7" i="11"/>
  <c r="AE5" i="11"/>
  <c r="AD5" i="11"/>
  <c r="BP6" i="11"/>
  <c r="AP8" i="12" l="1"/>
  <c r="AN8" i="12"/>
  <c r="AP7" i="12"/>
  <c r="AN7" i="12"/>
  <c r="AF9" i="11"/>
  <c r="AF16" i="11"/>
  <c r="AE9" i="11"/>
  <c r="AD9" i="11"/>
  <c r="AK7" i="12"/>
  <c r="BJ6" i="12" s="1"/>
  <c r="AL8" i="18"/>
  <c r="AM8" i="18" s="1"/>
  <c r="AE16" i="11"/>
  <c r="AX41" i="18"/>
  <c r="BG40" i="18" s="1"/>
  <c r="AJ73" i="18"/>
  <c r="AJ74" i="18"/>
  <c r="AJ42" i="18"/>
  <c r="AJ41" i="18"/>
  <c r="AJ40" i="18"/>
  <c r="AJ71" i="18"/>
  <c r="AJ46" i="18"/>
  <c r="AJ44" i="18"/>
  <c r="AJ47" i="18"/>
  <c r="AJ70" i="18"/>
  <c r="AJ72" i="18"/>
  <c r="AJ45" i="18"/>
  <c r="AJ48" i="18"/>
  <c r="AJ55" i="18"/>
  <c r="AJ64" i="18"/>
  <c r="AJ56" i="18"/>
  <c r="AJ49" i="18"/>
  <c r="AJ65" i="18"/>
  <c r="AJ57" i="18"/>
  <c r="AJ51" i="18"/>
  <c r="AJ66" i="18"/>
  <c r="AJ58" i="18"/>
  <c r="AJ50" i="18"/>
  <c r="AJ67" i="18"/>
  <c r="AJ59" i="18"/>
  <c r="AJ68" i="18"/>
  <c r="AJ60" i="18"/>
  <c r="AJ52" i="18"/>
  <c r="AJ69" i="18"/>
  <c r="AJ61" i="18"/>
  <c r="AJ53" i="18"/>
  <c r="AJ62" i="18"/>
  <c r="AJ54" i="18"/>
  <c r="AJ63" i="18"/>
  <c r="AJ6" i="18"/>
  <c r="AL6" i="18"/>
  <c r="AM6" i="18" s="1"/>
  <c r="AL7" i="18"/>
  <c r="AM7" i="18" s="1"/>
  <c r="AJ7" i="18"/>
  <c r="BJ6" i="18" s="1"/>
  <c r="AK6" i="12"/>
  <c r="AM6" i="12"/>
  <c r="AO8" i="12"/>
  <c r="BN7" i="12" s="1"/>
  <c r="AO7" i="12"/>
  <c r="AF17" i="11"/>
  <c r="AE17" i="11"/>
  <c r="BN6" i="12" l="1"/>
  <c r="AP6" i="12"/>
  <c r="AN6" i="12"/>
  <c r="AP6" i="18"/>
  <c r="AN6" i="18"/>
  <c r="AP8" i="18"/>
  <c r="AN8" i="18"/>
  <c r="AP7" i="18"/>
  <c r="AN7" i="18"/>
  <c r="AO8" i="18"/>
  <c r="BN7" i="18" s="1"/>
  <c r="BE40" i="18"/>
  <c r="BC40" i="18"/>
  <c r="AO6" i="18"/>
  <c r="AO7" i="18"/>
  <c r="BN6" i="18" s="1"/>
  <c r="BJ5" i="18"/>
  <c r="BN5" i="18" s="1"/>
  <c r="AO6" i="12"/>
  <c r="AV8" i="12" s="1"/>
  <c r="BJ5" i="12"/>
  <c r="BN5" i="12" s="1"/>
  <c r="BN8" i="12" s="1"/>
  <c r="AM6" i="11"/>
  <c r="AX15" i="11" l="1"/>
  <c r="BN5" i="11" s="1"/>
  <c r="AO6" i="11"/>
  <c r="AP6" i="11" s="1"/>
  <c r="AQ6" i="11" s="1"/>
  <c r="AZ44" i="18"/>
  <c r="AZ51" i="18"/>
  <c r="AZ50" i="18"/>
  <c r="AZ56" i="18"/>
  <c r="AZ60" i="18"/>
  <c r="AZ64" i="18"/>
  <c r="AZ68" i="18"/>
  <c r="AZ72" i="18"/>
  <c r="AZ42" i="18"/>
  <c r="AZ52" i="18"/>
  <c r="AZ57" i="18"/>
  <c r="AZ61" i="18"/>
  <c r="AZ65" i="18"/>
  <c r="AZ69" i="18"/>
  <c r="AZ73" i="18"/>
  <c r="AZ40" i="18"/>
  <c r="AZ49" i="18"/>
  <c r="AZ47" i="18"/>
  <c r="AZ46" i="18"/>
  <c r="AZ54" i="18"/>
  <c r="AZ58" i="18"/>
  <c r="AZ62" i="18"/>
  <c r="AZ66" i="18"/>
  <c r="AZ70" i="18"/>
  <c r="AZ74" i="18"/>
  <c r="AZ48" i="18"/>
  <c r="AZ55" i="18"/>
  <c r="AZ59" i="18"/>
  <c r="AZ63" i="18"/>
  <c r="AZ67" i="18"/>
  <c r="AZ71" i="18"/>
  <c r="AZ41" i="18"/>
  <c r="AZ45" i="18"/>
  <c r="AZ53" i="18"/>
  <c r="AV8" i="18"/>
  <c r="BN8" i="18"/>
  <c r="AM7" i="11"/>
  <c r="AM8" i="11"/>
  <c r="AR6" i="11" l="1"/>
  <c r="AW15" i="11"/>
  <c r="BR5" i="11" s="1"/>
  <c r="AO7" i="11"/>
  <c r="AP7" i="11" s="1"/>
  <c r="AQ7" i="11" s="1"/>
  <c r="AO8" i="11"/>
  <c r="AP8" i="11" s="1"/>
  <c r="AQ8" i="11" s="1"/>
  <c r="AX17" i="11"/>
  <c r="BL7" i="11" s="1"/>
  <c r="AX16" i="11"/>
  <c r="BN6" i="11" s="1"/>
  <c r="AR7" i="11" l="1"/>
  <c r="AR8" i="11"/>
  <c r="AW17" i="11"/>
  <c r="BR7" i="11" s="1"/>
  <c r="AW16" i="11"/>
  <c r="BR6" i="11" s="1"/>
  <c r="AX14" i="11"/>
  <c r="BR4" i="11" s="1"/>
  <c r="AZ8" i="11" l="1"/>
  <c r="BR8" i="11"/>
</calcChain>
</file>

<file path=xl/sharedStrings.xml><?xml version="1.0" encoding="utf-8"?>
<sst xmlns="http://schemas.openxmlformats.org/spreadsheetml/2006/main" count="316" uniqueCount="111">
  <si>
    <t>A</t>
  </si>
  <si>
    <t>B</t>
  </si>
  <si>
    <t>AB</t>
  </si>
  <si>
    <t>a</t>
  </si>
  <si>
    <t>b</t>
  </si>
  <si>
    <t>ab</t>
  </si>
  <si>
    <t>I</t>
  </si>
  <si>
    <t>(g)</t>
  </si>
  <si>
    <r>
      <t>SS</t>
    </r>
    <r>
      <rPr>
        <vertAlign val="subscript"/>
        <sz val="11"/>
        <color theme="1"/>
        <rFont val="Calibri"/>
        <family val="2"/>
        <scheme val="minor"/>
      </rPr>
      <t>I</t>
    </r>
    <r>
      <rPr>
        <sz val="11"/>
        <color theme="1"/>
        <rFont val="Calibri"/>
        <family val="2"/>
        <scheme val="minor"/>
      </rPr>
      <t>=MS</t>
    </r>
    <r>
      <rPr>
        <vertAlign val="subscript"/>
        <sz val="11"/>
        <color theme="1"/>
        <rFont val="Calibri"/>
        <family val="2"/>
        <scheme val="minor"/>
      </rPr>
      <t>I</t>
    </r>
  </si>
  <si>
    <r>
      <t>F=MS</t>
    </r>
    <r>
      <rPr>
        <vertAlign val="subscript"/>
        <sz val="11"/>
        <color theme="1"/>
        <rFont val="Calibri"/>
        <family val="2"/>
        <scheme val="minor"/>
      </rPr>
      <t>I</t>
    </r>
    <r>
      <rPr>
        <sz val="11"/>
        <color theme="1"/>
        <rFont val="Calibri"/>
        <family val="2"/>
        <scheme val="minor"/>
      </rPr>
      <t>/MS</t>
    </r>
    <r>
      <rPr>
        <vertAlign val="subscript"/>
        <sz val="11"/>
        <color theme="1"/>
        <rFont val="Calibri"/>
        <family val="2"/>
        <scheme val="minor"/>
      </rPr>
      <t>R</t>
    </r>
  </si>
  <si>
    <t>y=</t>
  </si>
  <si>
    <t>*</t>
  </si>
  <si>
    <t>=</t>
  </si>
  <si>
    <t>y</t>
  </si>
  <si>
    <r>
      <t>b</t>
    </r>
    <r>
      <rPr>
        <vertAlign val="subscript"/>
        <sz val="11"/>
        <color theme="1"/>
        <rFont val="Calibri"/>
        <family val="2"/>
        <scheme val="minor"/>
      </rPr>
      <t>1</t>
    </r>
  </si>
  <si>
    <r>
      <t>x</t>
    </r>
    <r>
      <rPr>
        <vertAlign val="subscript"/>
        <sz val="11"/>
        <color theme="1"/>
        <rFont val="Calibri"/>
        <family val="2"/>
        <scheme val="minor"/>
      </rPr>
      <t>A</t>
    </r>
    <r>
      <rPr>
        <sz val="11"/>
        <color theme="1"/>
        <rFont val="Calibri"/>
        <family val="2"/>
        <scheme val="minor"/>
      </rPr>
      <t xml:space="preserve"> =</t>
    </r>
  </si>
  <si>
    <r>
      <t>b</t>
    </r>
    <r>
      <rPr>
        <vertAlign val="subscript"/>
        <sz val="11"/>
        <color theme="1"/>
        <rFont val="Calibri"/>
        <family val="2"/>
        <scheme val="minor"/>
      </rPr>
      <t>2</t>
    </r>
  </si>
  <si>
    <r>
      <t>b</t>
    </r>
    <r>
      <rPr>
        <vertAlign val="subscript"/>
        <sz val="11"/>
        <color theme="1"/>
        <rFont val="Calibri"/>
        <family val="2"/>
        <scheme val="minor"/>
      </rPr>
      <t>3</t>
    </r>
  </si>
  <si>
    <r>
      <t>x</t>
    </r>
    <r>
      <rPr>
        <vertAlign val="subscript"/>
        <sz val="11"/>
        <color theme="1"/>
        <rFont val="Calibri"/>
        <family val="2"/>
        <scheme val="minor"/>
      </rPr>
      <t>B</t>
    </r>
    <r>
      <rPr>
        <sz val="11"/>
        <color theme="1"/>
        <rFont val="Calibri"/>
        <family val="2"/>
        <scheme val="minor"/>
      </rPr>
      <t xml:space="preserve"> =</t>
    </r>
  </si>
  <si>
    <r>
      <t>x</t>
    </r>
    <r>
      <rPr>
        <vertAlign val="subscript"/>
        <sz val="11"/>
        <color theme="1"/>
        <rFont val="Calibri"/>
        <family val="2"/>
        <scheme val="minor"/>
      </rPr>
      <t>A</t>
    </r>
  </si>
  <si>
    <r>
      <t>b</t>
    </r>
    <r>
      <rPr>
        <vertAlign val="subscript"/>
        <sz val="11"/>
        <color theme="1"/>
        <rFont val="Calibri"/>
        <family val="2"/>
        <scheme val="minor"/>
      </rPr>
      <t>0</t>
    </r>
  </si>
  <si>
    <r>
      <t>= x</t>
    </r>
    <r>
      <rPr>
        <vertAlign val="subscript"/>
        <sz val="11"/>
        <color theme="1"/>
        <rFont val="Calibri"/>
        <family val="2"/>
        <scheme val="minor"/>
      </rPr>
      <t>A</t>
    </r>
  </si>
  <si>
    <r>
      <t>= x</t>
    </r>
    <r>
      <rPr>
        <vertAlign val="subscript"/>
        <sz val="11"/>
        <color theme="1"/>
        <rFont val="Calibri"/>
        <family val="2"/>
        <scheme val="minor"/>
      </rPr>
      <t>B</t>
    </r>
  </si>
  <si>
    <t>(-1)</t>
  </si>
  <si>
    <t>(+1)</t>
  </si>
  <si>
    <r>
      <t>SS</t>
    </r>
    <r>
      <rPr>
        <vertAlign val="subscript"/>
        <sz val="11"/>
        <color theme="1"/>
        <rFont val="Calibri"/>
        <family val="2"/>
        <scheme val="minor"/>
      </rPr>
      <t>R</t>
    </r>
    <r>
      <rPr>
        <sz val="11"/>
        <color theme="1"/>
        <rFont val="Calibri"/>
        <family val="2"/>
        <scheme val="minor"/>
      </rPr>
      <t>=</t>
    </r>
  </si>
  <si>
    <r>
      <t>f</t>
    </r>
    <r>
      <rPr>
        <vertAlign val="subscript"/>
        <sz val="11"/>
        <color theme="1"/>
        <rFont val="Calibri"/>
        <family val="2"/>
        <scheme val="minor"/>
      </rPr>
      <t>R</t>
    </r>
    <r>
      <rPr>
        <sz val="11"/>
        <color theme="1"/>
        <rFont val="Calibri"/>
        <family val="2"/>
        <scheme val="minor"/>
      </rPr>
      <t>=</t>
    </r>
  </si>
  <si>
    <t>a=</t>
  </si>
  <si>
    <r>
      <t>F</t>
    </r>
    <r>
      <rPr>
        <vertAlign val="subscript"/>
        <sz val="11"/>
        <color theme="1"/>
        <rFont val="Calibri"/>
        <family val="2"/>
        <scheme val="minor"/>
      </rPr>
      <t>1-</t>
    </r>
    <r>
      <rPr>
        <vertAlign val="subscript"/>
        <sz val="11"/>
        <color theme="1"/>
        <rFont val="Symbol"/>
        <family val="1"/>
        <charset val="2"/>
      </rPr>
      <t>a</t>
    </r>
    <r>
      <rPr>
        <sz val="11"/>
        <color theme="1"/>
        <rFont val="Calibri"/>
        <family val="2"/>
        <scheme val="minor"/>
      </rPr>
      <t>(1,f</t>
    </r>
    <r>
      <rPr>
        <vertAlign val="subscript"/>
        <sz val="11"/>
        <color theme="1"/>
        <rFont val="Calibri"/>
        <family val="2"/>
        <scheme val="minor"/>
      </rPr>
      <t>R</t>
    </r>
    <r>
      <rPr>
        <sz val="11"/>
        <color theme="1"/>
        <rFont val="Calibri"/>
        <family val="2"/>
        <scheme val="minor"/>
      </rPr>
      <t>)=</t>
    </r>
  </si>
  <si>
    <r>
      <t>MS</t>
    </r>
    <r>
      <rPr>
        <vertAlign val="subscript"/>
        <sz val="11"/>
        <color theme="1"/>
        <rFont val="Calibri"/>
        <family val="2"/>
        <scheme val="minor"/>
      </rPr>
      <t>R</t>
    </r>
    <r>
      <rPr>
        <sz val="11"/>
        <color theme="1"/>
        <rFont val="Calibri"/>
        <family val="2"/>
        <scheme val="minor"/>
      </rPr>
      <t>=SS</t>
    </r>
    <r>
      <rPr>
        <vertAlign val="subscript"/>
        <sz val="11"/>
        <color theme="1"/>
        <rFont val="Calibri"/>
        <family val="2"/>
        <scheme val="minor"/>
      </rPr>
      <t>R</t>
    </r>
    <r>
      <rPr>
        <sz val="11"/>
        <color theme="1"/>
        <rFont val="Calibri"/>
        <family val="2"/>
        <scheme val="minor"/>
      </rPr>
      <t>/f</t>
    </r>
    <r>
      <rPr>
        <vertAlign val="subscript"/>
        <sz val="11"/>
        <color theme="1"/>
        <rFont val="Calibri"/>
        <family val="2"/>
        <scheme val="minor"/>
      </rPr>
      <t>R</t>
    </r>
    <r>
      <rPr>
        <sz val="11"/>
        <color theme="1"/>
        <rFont val="Calibri"/>
        <family val="2"/>
        <scheme val="minor"/>
      </rPr>
      <t>=</t>
    </r>
  </si>
  <si>
    <t>mm</t>
  </si>
  <si>
    <t>h</t>
  </si>
  <si>
    <t>x</t>
  </si>
  <si>
    <t>x²</t>
  </si>
  <si>
    <r>
      <t>a</t>
    </r>
    <r>
      <rPr>
        <vertAlign val="subscript"/>
        <sz val="11"/>
        <color indexed="8"/>
        <rFont val="Arial"/>
        <family val="2"/>
      </rPr>
      <t>2</t>
    </r>
  </si>
  <si>
    <r>
      <t>a</t>
    </r>
    <r>
      <rPr>
        <vertAlign val="subscript"/>
        <sz val="11"/>
        <color indexed="8"/>
        <rFont val="Arial"/>
        <family val="2"/>
      </rPr>
      <t>1</t>
    </r>
  </si>
  <si>
    <r>
      <t>a</t>
    </r>
    <r>
      <rPr>
        <vertAlign val="subscript"/>
        <sz val="11"/>
        <color indexed="8"/>
        <rFont val="Arial"/>
        <family val="2"/>
      </rPr>
      <t>0</t>
    </r>
  </si>
  <si>
    <t>y =</t>
  </si>
  <si>
    <t>x²+(</t>
  </si>
  <si>
    <t>) x+(</t>
  </si>
  <si>
    <t>)</t>
  </si>
  <si>
    <t>yber</t>
  </si>
  <si>
    <t>Amin</t>
  </si>
  <si>
    <t>Amax</t>
  </si>
  <si>
    <t>alpha</t>
  </si>
  <si>
    <t>Response</t>
  </si>
  <si>
    <t>Factor</t>
  </si>
  <si>
    <t>low</t>
  </si>
  <si>
    <t>high</t>
  </si>
  <si>
    <t>Temperature</t>
  </si>
  <si>
    <t>quantitative</t>
  </si>
  <si>
    <t>Effects</t>
  </si>
  <si>
    <t>p-value</t>
  </si>
  <si>
    <t>Significance</t>
  </si>
  <si>
    <t>Coeff.</t>
  </si>
  <si>
    <r>
      <t>b</t>
    </r>
    <r>
      <rPr>
        <vertAlign val="subscript"/>
        <sz val="11"/>
        <color theme="1"/>
        <rFont val="Calibri"/>
        <family val="2"/>
        <scheme val="minor"/>
      </rPr>
      <t>0</t>
    </r>
    <r>
      <rPr>
        <sz val="11"/>
        <color theme="1"/>
        <rFont val="Calibri"/>
        <family val="2"/>
        <scheme val="minor"/>
      </rPr>
      <t xml:space="preserve"> to b</t>
    </r>
    <r>
      <rPr>
        <vertAlign val="subscript"/>
        <sz val="11"/>
        <color theme="1"/>
        <rFont val="Calibri"/>
        <family val="2"/>
        <scheme val="minor"/>
      </rPr>
      <t>3</t>
    </r>
  </si>
  <si>
    <t>Yield</t>
  </si>
  <si>
    <t>[%]</t>
  </si>
  <si>
    <t>Pressure</t>
  </si>
  <si>
    <t>Average Effect</t>
  </si>
  <si>
    <t>Factor Level</t>
  </si>
  <si>
    <r>
      <t>b</t>
    </r>
    <r>
      <rPr>
        <vertAlign val="subscript"/>
        <sz val="11"/>
        <color theme="1"/>
        <rFont val="Calibri"/>
        <family val="2"/>
        <scheme val="minor"/>
      </rPr>
      <t xml:space="preserve">0 </t>
    </r>
    <r>
      <rPr>
        <sz val="11"/>
        <color theme="1"/>
        <rFont val="Calibri"/>
        <family val="2"/>
        <scheme val="minor"/>
      </rPr>
      <t>to b</t>
    </r>
    <r>
      <rPr>
        <vertAlign val="subscript"/>
        <sz val="11"/>
        <color theme="1"/>
        <rFont val="Calibri"/>
        <family val="2"/>
        <scheme val="minor"/>
      </rPr>
      <t>3</t>
    </r>
  </si>
  <si>
    <t>Levels</t>
  </si>
  <si>
    <t>Low</t>
  </si>
  <si>
    <t>High</t>
  </si>
  <si>
    <t>significant</t>
  </si>
  <si>
    <t>not significant</t>
  </si>
  <si>
    <t>Response:</t>
  </si>
  <si>
    <t>Deg C</t>
  </si>
  <si>
    <t>Interaction AB, y=f(B) with Parameter A</t>
  </si>
  <si>
    <t>Run</t>
  </si>
  <si>
    <t>Interaction AB, y=f(A) with Parameter B</t>
  </si>
  <si>
    <t xml:space="preserve"> A low</t>
  </si>
  <si>
    <t xml:space="preserve"> B low</t>
  </si>
  <si>
    <t>Blow_Regr</t>
  </si>
  <si>
    <t xml:space="preserve"> B high</t>
  </si>
  <si>
    <t xml:space="preserve"> A high</t>
  </si>
  <si>
    <t>Bhigh_Regr</t>
  </si>
  <si>
    <t>ycalc</t>
  </si>
  <si>
    <t>vertical Lines</t>
  </si>
  <si>
    <t>Feed</t>
  </si>
  <si>
    <t>[µm]</t>
  </si>
  <si>
    <t xml:space="preserve">Instructions for using the sheets </t>
  </si>
  <si>
    <t>Thomas Elser: Factorial Design (Two factors at two levels)</t>
  </si>
  <si>
    <t>[kg/h]</t>
  </si>
  <si>
    <t>" "</t>
  </si>
  <si>
    <t>°C</t>
  </si>
  <si>
    <t>bar</t>
  </si>
  <si>
    <t>Surface roughness</t>
  </si>
  <si>
    <t>Cutting depth</t>
  </si>
  <si>
    <t xml:space="preserve">Product quantity </t>
  </si>
  <si>
    <t>Measurement unit</t>
  </si>
  <si>
    <t>Factor type</t>
  </si>
  <si>
    <t>Factor levels</t>
  </si>
  <si>
    <t>Test results:</t>
  </si>
  <si>
    <t>Signs of effects</t>
  </si>
  <si>
    <t>Calculation of effects</t>
  </si>
  <si>
    <t>Average test results y (factors at low/high level)</t>
  </si>
  <si>
    <t>Input of test results</t>
  </si>
  <si>
    <t>Calculation and visualisation of effects and interaction effects</t>
  </si>
  <si>
    <t>Interaction AB, y=f(B) with parameter A</t>
  </si>
  <si>
    <t>Retention time</t>
  </si>
  <si>
    <t>F-test result</t>
  </si>
  <si>
    <t xml:space="preserve">Rotatable design with alpha = </t>
  </si>
  <si>
    <t>Central points</t>
  </si>
  <si>
    <t>Star points</t>
  </si>
  <si>
    <t>Input of factors and levels</t>
  </si>
  <si>
    <t>Calculation scheme of effects</t>
  </si>
  <si>
    <t>Predictive function</t>
  </si>
  <si>
    <t xml:space="preserve">Significance of effects and interaction: ANOVA </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</si>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</sst>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000"/>
    <numFmt numFmtId="166" formatCode="0.000000"/>
    <numFmt numFmtId="167" formatCode="0.0"/>
  </numFmts>
  <fonts count="16">
    <font>
      <sz val="11"/>
      <color theme="1"/>
      <name val="Calibri"/>
      <family val="2"/>
      <scheme val="minor"/>
    </font>
    <font>
      <sz val="11"/>
      <name val="Calibri"/>
      <family val="2"/>
      <scheme val="minor"/>
    </font>
    <font>
      <vertAlign val="subscript"/>
      <sz val="11"/>
      <color theme="1"/>
      <name val="Calibri"/>
      <family val="2"/>
      <scheme val="minor"/>
    </font>
    <font>
      <sz val="11"/>
      <color theme="1"/>
      <name val="Symbol"/>
      <family val="1"/>
      <charset val="2"/>
    </font>
    <font>
      <vertAlign val="subscript"/>
      <sz val="11"/>
      <color theme="1"/>
      <name val="Symbol"/>
      <family val="1"/>
      <charset val="2"/>
    </font>
    <font>
      <b/>
      <sz val="11"/>
      <color theme="0"/>
      <name val="Calibri"/>
      <family val="2"/>
      <scheme val="minor"/>
    </font>
    <font>
      <b/>
      <sz val="12"/>
      <color theme="0"/>
      <name val="Calibri"/>
      <family val="2"/>
      <scheme val="minor"/>
    </font>
    <font>
      <sz val="11"/>
      <color indexed="8"/>
      <name val="Arial"/>
      <family val="2"/>
    </font>
    <font>
      <vertAlign val="subscript"/>
      <sz val="11"/>
      <color indexed="8"/>
      <name val="Arial"/>
      <family val="2"/>
    </font>
    <font>
      <sz val="12"/>
      <name val="Arial MT"/>
    </font>
    <font>
      <sz val="11"/>
      <name val="Arial"/>
      <family val="2"/>
    </font>
    <font>
      <sz val="11"/>
      <name val="Arial"/>
      <family val="2"/>
    </font>
    <font>
      <sz val="11"/>
      <name val="Arial MT"/>
    </font>
    <font>
      <sz val="11"/>
      <color rgb="FFFF0000"/>
      <name val="Calibri"/>
      <family val="2"/>
      <scheme val="minor"/>
    </font>
    <font>
      <sz val="11"/>
      <color theme="0" tint="-0.14999847407452621"/>
      <name val="Calibri"/>
      <family val="2"/>
      <scheme val="minor"/>
    </font>
    <font>
      <sz val="10"/>
      <color theme="1"/>
      <name val="Arial Unicode MS"/>
      <family val="2"/>
    </font>
  </fonts>
  <fills count="13">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rgb="FFFFFF99"/>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indexed="41"/>
        <bgColor indexed="64"/>
      </patternFill>
    </fill>
    <fill>
      <patternFill patternType="solid">
        <fgColor indexed="43"/>
        <bgColor indexed="64"/>
      </patternFill>
    </fill>
    <fill>
      <patternFill patternType="solid">
        <fgColor theme="5" tint="0.59999389629810485"/>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cellStyleXfs>
  <cellXfs count="213">
    <xf numFmtId="0" fontId="0" fillId="0" borderId="0" xfId="0"/>
    <xf numFmtId="0" fontId="0" fillId="0" borderId="1" xfId="0" applyBorder="1"/>
    <xf numFmtId="0" fontId="0" fillId="2" borderId="1" xfId="0" applyFill="1" applyBorder="1"/>
    <xf numFmtId="0" fontId="0" fillId="3" borderId="1" xfId="0" applyFill="1" applyBorder="1" applyAlignment="1">
      <alignment horizontal="center"/>
    </xf>
    <xf numFmtId="0" fontId="0" fillId="2" borderId="1" xfId="0" applyFill="1" applyBorder="1" applyAlignment="1">
      <alignment horizontal="center"/>
    </xf>
    <xf numFmtId="0" fontId="0" fillId="2" borderId="1" xfId="0" quotePrefix="1" applyFill="1" applyBorder="1" applyAlignment="1">
      <alignment horizontal="center"/>
    </xf>
    <xf numFmtId="0" fontId="0" fillId="0" borderId="1" xfId="0" applyBorder="1" applyAlignment="1">
      <alignment horizontal="center"/>
    </xf>
    <xf numFmtId="0" fontId="0" fillId="0" borderId="1" xfId="0" applyFill="1" applyBorder="1" applyAlignment="1">
      <alignment horizontal="center"/>
    </xf>
    <xf numFmtId="0" fontId="0" fillId="4" borderId="1" xfId="0" applyFill="1" applyBorder="1" applyAlignment="1">
      <alignment horizontal="center"/>
    </xf>
    <xf numFmtId="2" fontId="0" fillId="0" borderId="0" xfId="0" applyNumberFormat="1"/>
    <xf numFmtId="0" fontId="0" fillId="3" borderId="1" xfId="0" applyFill="1" applyBorder="1"/>
    <xf numFmtId="165" fontId="0" fillId="0" borderId="0" xfId="0" applyNumberFormat="1"/>
    <xf numFmtId="164" fontId="0" fillId="0" borderId="0" xfId="0" applyNumberFormat="1"/>
    <xf numFmtId="164" fontId="0" fillId="0" borderId="1" xfId="0" applyNumberFormat="1" applyBorder="1"/>
    <xf numFmtId="2" fontId="1" fillId="0" borderId="1" xfId="0" applyNumberFormat="1" applyFont="1" applyBorder="1"/>
    <xf numFmtId="164" fontId="1" fillId="0" borderId="1" xfId="0" applyNumberFormat="1" applyFont="1" applyBorder="1"/>
    <xf numFmtId="164" fontId="0" fillId="0" borderId="1" xfId="0" applyNumberFormat="1" applyBorder="1" applyAlignment="1">
      <alignment horizontal="right"/>
    </xf>
    <xf numFmtId="0" fontId="0" fillId="0" borderId="1" xfId="0" quotePrefix="1" applyBorder="1"/>
    <xf numFmtId="2" fontId="0" fillId="0" borderId="1" xfId="0" applyNumberFormat="1" applyBorder="1"/>
    <xf numFmtId="0" fontId="0" fillId="0" borderId="0" xfId="0" applyAlignment="1">
      <alignment horizontal="center"/>
    </xf>
    <xf numFmtId="0" fontId="0" fillId="6" borderId="0" xfId="0" applyFill="1"/>
    <xf numFmtId="0" fontId="0" fillId="5" borderId="1" xfId="0" applyFill="1" applyBorder="1" applyAlignment="1">
      <alignment horizontal="center"/>
    </xf>
    <xf numFmtId="0" fontId="0" fillId="0" borderId="0" xfId="0" quotePrefix="1" applyAlignment="1">
      <alignment horizontal="center"/>
    </xf>
    <xf numFmtId="0" fontId="0" fillId="5" borderId="10" xfId="0" applyFill="1" applyBorder="1" applyAlignment="1">
      <alignment horizontal="center"/>
    </xf>
    <xf numFmtId="0" fontId="0" fillId="5" borderId="11" xfId="0" applyFill="1" applyBorder="1" applyAlignment="1">
      <alignment horizontal="center"/>
    </xf>
    <xf numFmtId="0" fontId="0" fillId="5" borderId="11" xfId="0" applyFill="1" applyBorder="1"/>
    <xf numFmtId="164" fontId="0" fillId="5" borderId="11" xfId="0" applyNumberFormat="1" applyFill="1" applyBorder="1"/>
    <xf numFmtId="2" fontId="0" fillId="5" borderId="11" xfId="0" applyNumberFormat="1" applyFill="1" applyBorder="1"/>
    <xf numFmtId="0" fontId="0" fillId="5" borderId="12" xfId="0" quotePrefix="1" applyFill="1" applyBorder="1"/>
    <xf numFmtId="0" fontId="0" fillId="5" borderId="2" xfId="0" applyFill="1" applyBorder="1" applyAlignment="1">
      <alignment horizontal="center"/>
    </xf>
    <xf numFmtId="0" fontId="0" fillId="5" borderId="3" xfId="0" applyFill="1" applyBorder="1" applyAlignment="1">
      <alignment horizontal="center"/>
    </xf>
    <xf numFmtId="0" fontId="0" fillId="5" borderId="3" xfId="0" applyFill="1" applyBorder="1"/>
    <xf numFmtId="164" fontId="0" fillId="5" borderId="3" xfId="0" applyNumberFormat="1" applyFill="1" applyBorder="1"/>
    <xf numFmtId="0" fontId="0" fillId="5" borderId="0" xfId="0" applyFill="1"/>
    <xf numFmtId="0" fontId="0" fillId="5" borderId="8" xfId="0" applyFill="1" applyBorder="1" applyAlignment="1">
      <alignment horizontal="center"/>
    </xf>
    <xf numFmtId="0" fontId="0" fillId="5" borderId="7" xfId="0" applyFill="1" applyBorder="1" applyAlignment="1">
      <alignment horizontal="center"/>
    </xf>
    <xf numFmtId="0" fontId="0" fillId="5" borderId="9" xfId="0" applyFill="1" applyBorder="1" applyAlignment="1">
      <alignment horizontal="center"/>
    </xf>
    <xf numFmtId="0" fontId="0" fillId="5" borderId="4" xfId="0" applyFill="1" applyBorder="1" applyAlignment="1">
      <alignment horizontal="center"/>
    </xf>
    <xf numFmtId="0" fontId="0" fillId="5" borderId="2" xfId="0" applyFill="1" applyBorder="1" applyAlignment="1"/>
    <xf numFmtId="165" fontId="0" fillId="0" borderId="4" xfId="0" applyNumberFormat="1" applyBorder="1" applyAlignment="1">
      <alignment horizontal="left"/>
    </xf>
    <xf numFmtId="0" fontId="3" fillId="4" borderId="2" xfId="0" applyFont="1" applyFill="1" applyBorder="1" applyAlignment="1">
      <alignment horizontal="right"/>
    </xf>
    <xf numFmtId="2" fontId="0" fillId="3" borderId="4" xfId="0" applyNumberFormat="1" applyFill="1" applyBorder="1" applyAlignment="1">
      <alignment horizontal="left"/>
    </xf>
    <xf numFmtId="0" fontId="0" fillId="4" borderId="2" xfId="0" applyFill="1" applyBorder="1" applyAlignment="1">
      <alignment horizontal="right"/>
    </xf>
    <xf numFmtId="166" fontId="0" fillId="0" borderId="1" xfId="0" applyNumberFormat="1" applyBorder="1"/>
    <xf numFmtId="0" fontId="0" fillId="4" borderId="5" xfId="0" applyFill="1" applyBorder="1" applyAlignment="1">
      <alignment horizontal="center"/>
    </xf>
    <xf numFmtId="0" fontId="0" fillId="4" borderId="6" xfId="0" applyFill="1" applyBorder="1" applyAlignment="1">
      <alignment horizontal="center"/>
    </xf>
    <xf numFmtId="164" fontId="0" fillId="0" borderId="6" xfId="0" applyNumberFormat="1" applyBorder="1" applyAlignment="1">
      <alignment horizontal="right"/>
    </xf>
    <xf numFmtId="0" fontId="0" fillId="5" borderId="2" xfId="0" applyFill="1" applyBorder="1" applyAlignment="1">
      <alignment horizontal="right"/>
    </xf>
    <xf numFmtId="164" fontId="0" fillId="5" borderId="4" xfId="0" applyNumberFormat="1" applyFill="1" applyBorder="1"/>
    <xf numFmtId="0" fontId="0" fillId="5" borderId="3" xfId="0" quotePrefix="1" applyFill="1" applyBorder="1"/>
    <xf numFmtId="0" fontId="0" fillId="7" borderId="1" xfId="0" applyFill="1" applyBorder="1" applyAlignment="1">
      <alignment horizontal="center"/>
    </xf>
    <xf numFmtId="0" fontId="0" fillId="2" borderId="5" xfId="0" applyFill="1" applyBorder="1" applyAlignment="1">
      <alignment vertical="center"/>
    </xf>
    <xf numFmtId="0" fontId="0" fillId="2" borderId="6" xfId="0" applyFill="1" applyBorder="1" applyAlignment="1">
      <alignment vertical="center"/>
    </xf>
    <xf numFmtId="0" fontId="0" fillId="0" borderId="4" xfId="0" applyBorder="1" applyAlignment="1">
      <alignment horizontal="center"/>
    </xf>
    <xf numFmtId="0" fontId="0" fillId="6" borderId="11" xfId="0" applyFill="1" applyBorder="1"/>
    <xf numFmtId="2" fontId="0" fillId="0" borderId="1" xfId="0" applyNumberFormat="1" applyBorder="1" applyAlignment="1">
      <alignment horizontal="center"/>
    </xf>
    <xf numFmtId="0" fontId="0" fillId="3" borderId="12" xfId="0" applyFill="1" applyBorder="1" applyAlignment="1">
      <alignment horizontal="left"/>
    </xf>
    <xf numFmtId="0" fontId="0" fillId="3" borderId="8" xfId="0" applyFill="1" applyBorder="1" applyAlignment="1">
      <alignment horizontal="left"/>
    </xf>
    <xf numFmtId="0" fontId="0" fillId="4" borderId="2" xfId="0" applyFill="1" applyBorder="1" applyAlignment="1">
      <alignment horizontal="center"/>
    </xf>
    <xf numFmtId="0" fontId="0" fillId="4" borderId="4" xfId="0" applyFill="1" applyBorder="1" applyAlignment="1">
      <alignment horizontal="center"/>
    </xf>
    <xf numFmtId="0" fontId="0" fillId="0" borderId="4" xfId="0" applyBorder="1" applyAlignment="1">
      <alignment horizontal="center"/>
    </xf>
    <xf numFmtId="0" fontId="0" fillId="4" borderId="3" xfId="0" applyFill="1" applyBorder="1" applyAlignment="1">
      <alignment horizontal="center"/>
    </xf>
    <xf numFmtId="0" fontId="0" fillId="4" borderId="3" xfId="0" applyFill="1" applyBorder="1" applyAlignment="1"/>
    <xf numFmtId="0" fontId="0" fillId="4" borderId="4" xfId="0" applyFill="1" applyBorder="1" applyAlignment="1"/>
    <xf numFmtId="0" fontId="0" fillId="2" borderId="6" xfId="0" applyFill="1" applyBorder="1" applyAlignment="1">
      <alignment horizontal="center"/>
    </xf>
    <xf numFmtId="0" fontId="0" fillId="5" borderId="0" xfId="0" applyFill="1" applyBorder="1" applyAlignment="1">
      <alignment horizontal="center"/>
    </xf>
    <xf numFmtId="0" fontId="0" fillId="5" borderId="0" xfId="0" applyFill="1" applyBorder="1" applyAlignment="1"/>
    <xf numFmtId="164" fontId="0" fillId="6" borderId="0" xfId="0" applyNumberFormat="1" applyFill="1"/>
    <xf numFmtId="164" fontId="0" fillId="0" borderId="5" xfId="0" applyNumberFormat="1" applyBorder="1"/>
    <xf numFmtId="164" fontId="0" fillId="0" borderId="4" xfId="0" applyNumberFormat="1" applyBorder="1"/>
    <xf numFmtId="0" fontId="0" fillId="8" borderId="0" xfId="0" applyFill="1"/>
    <xf numFmtId="0" fontId="5" fillId="8" borderId="0" xfId="0" applyFont="1" applyFill="1"/>
    <xf numFmtId="0" fontId="6" fillId="8" borderId="0" xfId="0" applyFont="1" applyFill="1"/>
    <xf numFmtId="0" fontId="0" fillId="0" borderId="4" xfId="0" applyBorder="1" applyAlignment="1">
      <alignment horizontal="center"/>
    </xf>
    <xf numFmtId="164" fontId="0" fillId="2" borderId="1" xfId="0" applyNumberFormat="1" applyFill="1" applyBorder="1" applyAlignment="1">
      <alignment horizontal="center"/>
    </xf>
    <xf numFmtId="2" fontId="0" fillId="2" borderId="1" xfId="0" applyNumberFormat="1" applyFill="1" applyBorder="1" applyAlignment="1">
      <alignment horizontal="center"/>
    </xf>
    <xf numFmtId="2" fontId="0" fillId="0" borderId="6" xfId="0" applyNumberFormat="1" applyBorder="1" applyAlignment="1">
      <alignment horizontal="right"/>
    </xf>
    <xf numFmtId="2" fontId="0" fillId="0" borderId="1" xfId="0" applyNumberFormat="1" applyBorder="1" applyAlignment="1">
      <alignment horizontal="right"/>
    </xf>
    <xf numFmtId="0" fontId="0" fillId="4" borderId="2" xfId="0" applyFill="1" applyBorder="1" applyAlignment="1">
      <alignment horizontal="center"/>
    </xf>
    <xf numFmtId="0" fontId="0" fillId="0" borderId="4" xfId="0" applyBorder="1" applyAlignment="1">
      <alignment horizontal="center"/>
    </xf>
    <xf numFmtId="0" fontId="0" fillId="4" borderId="3" xfId="0" applyFill="1" applyBorder="1" applyAlignment="1">
      <alignment horizontal="center"/>
    </xf>
    <xf numFmtId="0" fontId="7" fillId="9" borderId="5" xfId="0" applyFont="1" applyFill="1" applyBorder="1" applyAlignment="1">
      <alignment horizontal="center"/>
    </xf>
    <xf numFmtId="0" fontId="10" fillId="10" borderId="2" xfId="0" applyFont="1" applyFill="1" applyBorder="1"/>
    <xf numFmtId="0" fontId="11" fillId="10" borderId="3" xfId="1" applyFont="1" applyFill="1" applyBorder="1" applyAlignment="1">
      <alignment horizontal="center"/>
    </xf>
    <xf numFmtId="0" fontId="11" fillId="10" borderId="3" xfId="1" applyFont="1" applyFill="1" applyBorder="1"/>
    <xf numFmtId="0" fontId="12" fillId="10" borderId="4" xfId="1" applyFont="1" applyFill="1" applyBorder="1"/>
    <xf numFmtId="0" fontId="0" fillId="11" borderId="1" xfId="0" applyFill="1" applyBorder="1"/>
    <xf numFmtId="0" fontId="0" fillId="4" borderId="10" xfId="0" applyFill="1" applyBorder="1" applyAlignment="1">
      <alignment horizontal="center" vertical="center"/>
    </xf>
    <xf numFmtId="0" fontId="0" fillId="4" borderId="7" xfId="0" applyFill="1" applyBorder="1" applyAlignment="1">
      <alignment horizontal="center" vertical="center"/>
    </xf>
    <xf numFmtId="165" fontId="0" fillId="0" borderId="12" xfId="0" applyNumberFormat="1" applyBorder="1" applyAlignment="1">
      <alignment horizontal="left" vertical="center"/>
    </xf>
    <xf numFmtId="165" fontId="0" fillId="0" borderId="8" xfId="0" applyNumberFormat="1" applyBorder="1" applyAlignment="1">
      <alignment horizontal="left" vertical="center"/>
    </xf>
    <xf numFmtId="0" fontId="0" fillId="5" borderId="1" xfId="0" applyFill="1" applyBorder="1"/>
    <xf numFmtId="167" fontId="1" fillId="5" borderId="1" xfId="0" applyNumberFormat="1" applyFont="1" applyFill="1" applyBorder="1"/>
    <xf numFmtId="2" fontId="1" fillId="5" borderId="1" xfId="0" applyNumberFormat="1" applyFont="1" applyFill="1" applyBorder="1"/>
    <xf numFmtId="0" fontId="0" fillId="12" borderId="2" xfId="0" applyFill="1" applyBorder="1" applyAlignment="1">
      <alignment horizontal="center"/>
    </xf>
    <xf numFmtId="0" fontId="0" fillId="12" borderId="4" xfId="0" applyFill="1" applyBorder="1" applyAlignment="1">
      <alignment horizontal="center"/>
    </xf>
    <xf numFmtId="0" fontId="0" fillId="12" borderId="1" xfId="0" applyFill="1" applyBorder="1" applyAlignment="1">
      <alignment horizontal="center"/>
    </xf>
    <xf numFmtId="166" fontId="0" fillId="0" borderId="5" xfId="0" applyNumberFormat="1" applyBorder="1"/>
    <xf numFmtId="0" fontId="0" fillId="4" borderId="2" xfId="0" applyFill="1" applyBorder="1" applyAlignment="1">
      <alignment horizontal="center"/>
    </xf>
    <xf numFmtId="0" fontId="0" fillId="5" borderId="4" xfId="0" applyFill="1" applyBorder="1" applyAlignment="1">
      <alignment horizontal="center"/>
    </xf>
    <xf numFmtId="0" fontId="0" fillId="4" borderId="1" xfId="0" applyFill="1" applyBorder="1" applyAlignment="1">
      <alignment horizontal="center"/>
    </xf>
    <xf numFmtId="0" fontId="0" fillId="4" borderId="2" xfId="0" applyFill="1" applyBorder="1" applyAlignment="1">
      <alignment horizontal="center" vertical="center"/>
    </xf>
    <xf numFmtId="0" fontId="0" fillId="4" borderId="1" xfId="0" applyFill="1" applyBorder="1" applyAlignment="1">
      <alignment horizontal="center" vertical="center"/>
    </xf>
    <xf numFmtId="0" fontId="0" fillId="4" borderId="6" xfId="0" applyFill="1" applyBorder="1" applyAlignment="1">
      <alignment horizontal="center" vertical="center"/>
    </xf>
    <xf numFmtId="0" fontId="0" fillId="2" borderId="1" xfId="0" applyFill="1" applyBorder="1" applyAlignment="1">
      <alignment horizontal="center" vertical="center"/>
    </xf>
    <xf numFmtId="2" fontId="0" fillId="0" borderId="1" xfId="0" applyNumberFormat="1" applyBorder="1" applyAlignment="1">
      <alignment horizontal="center" vertical="center"/>
    </xf>
    <xf numFmtId="2" fontId="0" fillId="3" borderId="1" xfId="0" applyNumberFormat="1" applyFill="1" applyBorder="1"/>
    <xf numFmtId="164" fontId="6" fillId="8" borderId="0" xfId="0" applyNumberFormat="1" applyFont="1" applyFill="1" applyAlignment="1">
      <alignment horizontal="left"/>
    </xf>
    <xf numFmtId="0" fontId="0" fillId="6" borderId="0" xfId="0" applyFill="1" applyAlignment="1">
      <alignment horizontal="center" vertical="center"/>
    </xf>
    <xf numFmtId="0" fontId="0" fillId="2" borderId="2" xfId="0" quotePrefix="1" applyFill="1" applyBorder="1" applyAlignment="1">
      <alignment horizontal="centerContinuous" vertical="center"/>
    </xf>
    <xf numFmtId="0" fontId="0" fillId="2" borderId="4" xfId="0" quotePrefix="1" applyFill="1" applyBorder="1" applyAlignment="1">
      <alignment horizontal="centerContinuous" vertical="center"/>
    </xf>
    <xf numFmtId="167" fontId="0" fillId="5" borderId="1" xfId="0" applyNumberFormat="1" applyFill="1" applyBorder="1" applyAlignment="1">
      <alignment horizontal="center" vertical="center"/>
    </xf>
    <xf numFmtId="0" fontId="0" fillId="2" borderId="10" xfId="0" quotePrefix="1" applyFill="1" applyBorder="1" applyAlignment="1">
      <alignment horizontal="center"/>
    </xf>
    <xf numFmtId="0" fontId="0" fillId="4" borderId="1" xfId="0" applyFill="1" applyBorder="1" applyAlignment="1">
      <alignment vertical="center"/>
    </xf>
    <xf numFmtId="0" fontId="0" fillId="0" borderId="0" xfId="0" applyFill="1"/>
    <xf numFmtId="167" fontId="0" fillId="0" borderId="1" xfId="0" applyNumberFormat="1" applyBorder="1" applyAlignment="1">
      <alignment horizontal="center"/>
    </xf>
    <xf numFmtId="0" fontId="0" fillId="4" borderId="1" xfId="0" applyFill="1" applyBorder="1" applyAlignment="1">
      <alignment horizont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4" borderId="1" xfId="0" applyFill="1" applyBorder="1" applyAlignment="1">
      <alignment horizontal="center"/>
    </xf>
    <xf numFmtId="0" fontId="0" fillId="3" borderId="3" xfId="0" applyFill="1" applyBorder="1" applyAlignment="1">
      <alignment horizontal="right" vertical="center"/>
    </xf>
    <xf numFmtId="0" fontId="0" fillId="3" borderId="4" xfId="0" applyFill="1" applyBorder="1" applyAlignment="1">
      <alignment vertical="center"/>
    </xf>
    <xf numFmtId="0" fontId="0" fillId="3" borderId="1" xfId="0" applyFill="1" applyBorder="1" applyAlignment="1">
      <alignment horizontal="center" vertical="center"/>
    </xf>
    <xf numFmtId="0" fontId="0" fillId="3" borderId="4" xfId="0" applyFill="1" applyBorder="1" applyAlignment="1">
      <alignment horizontal="left" vertical="center"/>
    </xf>
    <xf numFmtId="0" fontId="13" fillId="6" borderId="0" xfId="0" applyFont="1" applyFill="1" applyAlignment="1">
      <alignment horizontal="center"/>
    </xf>
    <xf numFmtId="0" fontId="0" fillId="4" borderId="7" xfId="0" applyFill="1" applyBorder="1" applyAlignment="1">
      <alignment horizontal="right"/>
    </xf>
    <xf numFmtId="0" fontId="0" fillId="3" borderId="4" xfId="0" applyFill="1" applyBorder="1" applyAlignment="1">
      <alignment horizontal="left"/>
    </xf>
    <xf numFmtId="164" fontId="1" fillId="5" borderId="1" xfId="0" applyNumberFormat="1" applyFont="1" applyFill="1" applyBorder="1" applyAlignment="1">
      <alignment horizontal="center"/>
    </xf>
    <xf numFmtId="0" fontId="6" fillId="5" borderId="0" xfId="0" applyFont="1" applyFill="1"/>
    <xf numFmtId="0" fontId="7" fillId="9" borderId="0" xfId="0" applyFont="1" applyFill="1" applyBorder="1" applyAlignment="1">
      <alignment horizontal="center"/>
    </xf>
    <xf numFmtId="165" fontId="1" fillId="5" borderId="1" xfId="0" applyNumberFormat="1" applyFont="1" applyFill="1" applyBorder="1" applyAlignment="1">
      <alignment horizontal="center"/>
    </xf>
    <xf numFmtId="0" fontId="6" fillId="8" borderId="0" xfId="0" applyFont="1" applyFill="1" applyAlignment="1">
      <alignment horizontal="left"/>
    </xf>
    <xf numFmtId="0" fontId="0" fillId="6" borderId="0" xfId="0" applyFill="1"/>
    <xf numFmtId="0" fontId="6" fillId="8" borderId="0" xfId="0" applyFont="1" applyFill="1"/>
    <xf numFmtId="0" fontId="0" fillId="4" borderId="2" xfId="0" applyFill="1" applyBorder="1" applyAlignment="1">
      <alignment horizontal="center" vertical="center"/>
    </xf>
    <xf numFmtId="0" fontId="0" fillId="3" borderId="3" xfId="0" applyFill="1" applyBorder="1" applyAlignment="1">
      <alignment horizontal="center" vertical="center"/>
    </xf>
    <xf numFmtId="0" fontId="1" fillId="3" borderId="1" xfId="0" applyFont="1" applyFill="1" applyBorder="1" applyAlignment="1">
      <alignment horizontal="center" vertical="center"/>
    </xf>
    <xf numFmtId="0" fontId="14" fillId="0" borderId="0" xfId="0" applyFont="1"/>
    <xf numFmtId="0" fontId="0" fillId="0" borderId="0" xfId="0" applyAlignment="1">
      <alignment vertical="center"/>
    </xf>
    <xf numFmtId="0" fontId="15" fillId="0" borderId="0" xfId="0" applyFont="1" applyAlignment="1">
      <alignment vertical="center"/>
    </xf>
    <xf numFmtId="0" fontId="0" fillId="2" borderId="6" xfId="0" applyFill="1" applyBorder="1" applyAlignment="1">
      <alignment horizontal="left" vertical="center"/>
    </xf>
    <xf numFmtId="0" fontId="0" fillId="0" borderId="1" xfId="0" applyBorder="1" applyAlignment="1">
      <alignment horizontal="center" vertical="center"/>
    </xf>
    <xf numFmtId="49" fontId="14" fillId="0" borderId="0" xfId="0" applyNumberFormat="1" applyFont="1"/>
    <xf numFmtId="0" fontId="0" fillId="4" borderId="1" xfId="0" applyFill="1" applyBorder="1" applyAlignment="1">
      <alignment horizontal="center"/>
    </xf>
    <xf numFmtId="0" fontId="0" fillId="0" borderId="4" xfId="0" applyBorder="1" applyAlignment="1">
      <alignment horizontal="center"/>
    </xf>
    <xf numFmtId="0" fontId="0" fillId="2" borderId="0" xfId="0" applyFill="1" applyBorder="1" applyAlignment="1">
      <alignment horizontal="center"/>
    </xf>
    <xf numFmtId="0" fontId="0" fillId="7" borderId="0" xfId="0" applyFill="1" applyBorder="1" applyAlignment="1">
      <alignment horizontal="center"/>
    </xf>
    <xf numFmtId="0" fontId="0" fillId="0" borderId="0" xfId="0" applyBorder="1" applyAlignment="1">
      <alignment horizontal="center"/>
    </xf>
    <xf numFmtId="0" fontId="0" fillId="6" borderId="0" xfId="0" applyFill="1" applyAlignment="1">
      <alignment horizontal="right"/>
    </xf>
    <xf numFmtId="2" fontId="0" fillId="4" borderId="4" xfId="0" applyNumberFormat="1" applyFill="1" applyBorder="1" applyAlignment="1">
      <alignment horizontal="left"/>
    </xf>
    <xf numFmtId="0" fontId="0" fillId="0" borderId="10" xfId="0" applyBorder="1"/>
    <xf numFmtId="0" fontId="0" fillId="0" borderId="11" xfId="0" applyBorder="1"/>
    <xf numFmtId="0" fontId="0" fillId="0" borderId="12" xfId="0" applyBorder="1"/>
    <xf numFmtId="0" fontId="0" fillId="0" borderId="14" xfId="0" applyBorder="1"/>
    <xf numFmtId="0" fontId="0" fillId="0" borderId="0" xfId="0" applyBorder="1"/>
    <xf numFmtId="0" fontId="0" fillId="0" borderId="15" xfId="0" applyBorder="1"/>
    <xf numFmtId="0" fontId="9" fillId="0" borderId="0" xfId="1" applyBorder="1"/>
    <xf numFmtId="0" fontId="0" fillId="6" borderId="0" xfId="0" applyFill="1" applyBorder="1"/>
    <xf numFmtId="0" fontId="0" fillId="0" borderId="7" xfId="0" applyBorder="1"/>
    <xf numFmtId="0" fontId="0" fillId="0" borderId="9" xfId="0" applyBorder="1"/>
    <xf numFmtId="0" fontId="0" fillId="0" borderId="8" xfId="0" applyBorder="1"/>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5" borderId="2" xfId="0" applyFill="1" applyBorder="1" applyAlignment="1">
      <alignment horizontal="center"/>
    </xf>
    <xf numFmtId="0" fontId="0" fillId="5" borderId="4" xfId="0" applyFill="1" applyBorder="1" applyAlignment="1">
      <alignment horizontal="center"/>
    </xf>
    <xf numFmtId="167" fontId="0" fillId="5" borderId="2" xfId="0" applyNumberFormat="1" applyFill="1" applyBorder="1" applyAlignment="1">
      <alignment horizontal="center"/>
    </xf>
    <xf numFmtId="167" fontId="0" fillId="5" borderId="4" xfId="0" applyNumberFormat="1" applyFill="1" applyBorder="1" applyAlignment="1">
      <alignment horizontal="center"/>
    </xf>
    <xf numFmtId="0" fontId="0" fillId="12" borderId="2" xfId="0" applyFill="1" applyBorder="1" applyAlignment="1">
      <alignment horizontal="center" vertical="center"/>
    </xf>
    <xf numFmtId="0" fontId="0" fillId="12" borderId="4" xfId="0" applyFill="1" applyBorder="1" applyAlignment="1">
      <alignment horizontal="center" vertical="center"/>
    </xf>
    <xf numFmtId="0" fontId="0" fillId="4" borderId="11" xfId="0" applyFill="1" applyBorder="1" applyAlignment="1">
      <alignment horizontal="center"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0" fillId="4" borderId="2" xfId="0" applyFill="1" applyBorder="1" applyAlignment="1">
      <alignment horizontal="center" vertical="center"/>
    </xf>
    <xf numFmtId="0" fontId="0" fillId="4" borderId="4"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2" borderId="5" xfId="0" applyFill="1" applyBorder="1" applyAlignment="1">
      <alignment horizontal="center" vertical="center"/>
    </xf>
    <xf numFmtId="0" fontId="0" fillId="2" borderId="6" xfId="0" quotePrefix="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4" borderId="10" xfId="0" applyFill="1" applyBorder="1" applyAlignment="1">
      <alignment horizontal="center" vertical="center"/>
    </xf>
    <xf numFmtId="0" fontId="0" fillId="4" borderId="12"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9" xfId="0" applyFill="1" applyBorder="1" applyAlignment="1">
      <alignment horizontal="center" vertical="center" wrapText="1"/>
    </xf>
    <xf numFmtId="0" fontId="0" fillId="2" borderId="8" xfId="0" applyFill="1" applyBorder="1" applyAlignment="1">
      <alignment horizontal="center" vertical="center" wrapText="1"/>
    </xf>
    <xf numFmtId="0" fontId="0" fillId="4" borderId="1" xfId="0" applyFill="1" applyBorder="1" applyAlignment="1">
      <alignment horizontal="center"/>
    </xf>
    <xf numFmtId="165" fontId="0" fillId="0" borderId="2" xfId="0" applyNumberFormat="1" applyFill="1" applyBorder="1" applyAlignment="1">
      <alignment horizontal="center"/>
    </xf>
    <xf numFmtId="165" fontId="0" fillId="0" borderId="4" xfId="0" applyNumberFormat="1" applyFill="1" applyBorder="1" applyAlignment="1">
      <alignment horizontal="center"/>
    </xf>
    <xf numFmtId="165" fontId="0" fillId="0" borderId="12" xfId="0" applyNumberFormat="1" applyBorder="1" applyAlignment="1">
      <alignment horizontal="left" vertical="center"/>
    </xf>
    <xf numFmtId="165" fontId="0" fillId="0" borderId="8" xfId="0" applyNumberFormat="1" applyBorder="1" applyAlignment="1">
      <alignment horizontal="left" vertical="center"/>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6"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right" vertical="center" wrapText="1"/>
    </xf>
    <xf numFmtId="0" fontId="0" fillId="2" borderId="5" xfId="0" quotePrefix="1" applyFill="1" applyBorder="1" applyAlignment="1">
      <alignment horizontal="center" vertical="center"/>
    </xf>
    <xf numFmtId="0" fontId="0" fillId="4" borderId="10" xfId="0" applyFill="1" applyBorder="1" applyAlignment="1">
      <alignment horizontal="center"/>
    </xf>
    <xf numFmtId="0" fontId="0" fillId="4" borderId="12" xfId="0" applyFill="1" applyBorder="1" applyAlignment="1">
      <alignment horizontal="center"/>
    </xf>
    <xf numFmtId="0" fontId="0" fillId="4" borderId="2" xfId="0" applyFill="1" applyBorder="1" applyAlignment="1">
      <alignment horizontal="center"/>
    </xf>
    <xf numFmtId="0" fontId="0" fillId="4" borderId="4" xfId="0" applyFill="1" applyBorder="1" applyAlignment="1">
      <alignment horizontal="center"/>
    </xf>
    <xf numFmtId="0" fontId="0" fillId="4" borderId="7" xfId="0" applyFill="1" applyBorder="1" applyAlignment="1">
      <alignment horizontal="center"/>
    </xf>
    <xf numFmtId="0" fontId="0" fillId="4" borderId="8" xfId="0" applyFill="1" applyBorder="1" applyAlignment="1">
      <alignment horizontal="center"/>
    </xf>
    <xf numFmtId="0" fontId="0" fillId="0" borderId="2" xfId="0" applyBorder="1" applyAlignment="1">
      <alignment horizontal="center"/>
    </xf>
    <xf numFmtId="0" fontId="0" fillId="0" borderId="4" xfId="0" applyBorder="1" applyAlignment="1">
      <alignment horizontal="center"/>
    </xf>
  </cellXfs>
  <cellStyles count="2">
    <cellStyle name="Standard" xfId="0" builtinId="0"/>
    <cellStyle name="Standard_01_Ausbeute_Polyethen1" xfId="1"/>
  </cellStyles>
  <dxfs count="6">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theme="1"/>
      </font>
      <fill>
        <patternFill>
          <bgColor rgb="FFC6EFCE"/>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a:pPr>
            <a:r>
              <a:rPr lang="en-US"/>
              <a:t>Interaction AB: y=f(A) with parameter B</a:t>
            </a:r>
          </a:p>
        </c:rich>
      </c:tx>
      <c:layout>
        <c:manualLayout>
          <c:xMode val="edge"/>
          <c:yMode val="edge"/>
          <c:x val="0.3263198685530162"/>
          <c:y val="2.5132170978627671E-2"/>
        </c:manualLayout>
      </c:layout>
      <c:overlay val="1"/>
      <c:spPr>
        <a:solidFill>
          <a:schemeClr val="bg1"/>
        </a:solidFill>
      </c:spPr>
    </c:title>
    <c:autoTitleDeleted val="0"/>
    <c:plotArea>
      <c:layout>
        <c:manualLayout>
          <c:layoutTarget val="inner"/>
          <c:xMode val="edge"/>
          <c:yMode val="edge"/>
          <c:x val="0.14895862654849418"/>
          <c:y val="0.13293963254593319"/>
          <c:w val="0.55485767177653522"/>
          <c:h val="0.68156641878098556"/>
        </c:manualLayout>
      </c:layout>
      <c:scatterChart>
        <c:scatterStyle val="lineMarker"/>
        <c:varyColors val="0"/>
        <c:ser>
          <c:idx val="0"/>
          <c:order val="0"/>
          <c:tx>
            <c:strRef>
              <c:f>'Prod Quant Chem Reactor'!$AD$42:$AD$43</c:f>
              <c:strCache>
                <c:ptCount val="1"/>
                <c:pt idx="0">
                  <c:v>Retention time  B high</c:v>
                </c:pt>
              </c:strCache>
            </c:strRef>
          </c:tx>
          <c:spPr>
            <a:ln w="22225" cmpd="sng">
              <a:solidFill>
                <a:schemeClr val="tx1"/>
              </a:solidFill>
            </a:ln>
          </c:spPr>
          <c:marker>
            <c:symbol val="x"/>
            <c:size val="7"/>
            <c:spPr>
              <a:noFill/>
              <a:ln>
                <a:solidFill>
                  <a:schemeClr val="tx1"/>
                </a:solidFill>
              </a:ln>
            </c:spPr>
          </c:marker>
          <c:dLbls>
            <c:dLbl>
              <c:idx val="0"/>
              <c:layout>
                <c:manualLayout>
                  <c:x val="-6.7275983960393845E-2"/>
                  <c:y val="-3.968253968253968E-2"/>
                </c:manualLayout>
              </c:layout>
              <c:showLegendKey val="0"/>
              <c:showVal val="1"/>
              <c:showCatName val="0"/>
              <c:showSerName val="0"/>
              <c:showPercent val="0"/>
              <c:showBubbleSize val="0"/>
            </c:dLbl>
            <c:dLbl>
              <c:idx val="1"/>
              <c:layout>
                <c:manualLayout>
                  <c:x val="0"/>
                  <c:y val="-1.1904761904761904E-2"/>
                </c:manualLayout>
              </c:layout>
              <c:showLegendKey val="0"/>
              <c:showVal val="1"/>
              <c:showCatName val="0"/>
              <c:showSerName val="0"/>
              <c:showPercent val="0"/>
              <c:showBubbleSize val="0"/>
            </c:dLbl>
            <c:showLegendKey val="0"/>
            <c:showVal val="1"/>
            <c:showCatName val="0"/>
            <c:showSerName val="0"/>
            <c:showPercent val="0"/>
            <c:showBubbleSize val="0"/>
            <c:showLeaderLines val="0"/>
          </c:dLbls>
          <c:xVal>
            <c:numRef>
              <c:f>'Prod Quant Chem Reactor'!$AD$16:$AD$17</c:f>
              <c:numCache>
                <c:formatCode>General</c:formatCode>
                <c:ptCount val="2"/>
                <c:pt idx="0">
                  <c:v>-1</c:v>
                </c:pt>
                <c:pt idx="1">
                  <c:v>1</c:v>
                </c:pt>
              </c:numCache>
            </c:numRef>
          </c:xVal>
          <c:yVal>
            <c:numRef>
              <c:f>'Prod Quant Chem Reactor'!$AG$42:$AG$43</c:f>
              <c:numCache>
                <c:formatCode>General</c:formatCode>
                <c:ptCount val="2"/>
                <c:pt idx="0">
                  <c:v>80</c:v>
                </c:pt>
                <c:pt idx="1">
                  <c:v>82</c:v>
                </c:pt>
              </c:numCache>
            </c:numRef>
          </c:yVal>
          <c:smooth val="0"/>
        </c:ser>
        <c:ser>
          <c:idx val="1"/>
          <c:order val="1"/>
          <c:tx>
            <c:strRef>
              <c:f>'Prod Quant Chem Reactor'!$AD$40:$AD$41</c:f>
              <c:strCache>
                <c:ptCount val="1"/>
                <c:pt idx="0">
                  <c:v>Retention time  B low</c:v>
                </c:pt>
              </c:strCache>
            </c:strRef>
          </c:tx>
          <c:spPr>
            <a:ln w="22225">
              <a:solidFill>
                <a:schemeClr val="tx1"/>
              </a:solidFill>
              <a:prstDash val="sysDash"/>
            </a:ln>
          </c:spPr>
          <c:marker>
            <c:symbol val="x"/>
            <c:size val="7"/>
            <c:spPr>
              <a:noFill/>
              <a:ln>
                <a:solidFill>
                  <a:schemeClr val="tx1"/>
                </a:solidFill>
              </a:ln>
            </c:spPr>
          </c:marker>
          <c:dLbls>
            <c:dLbl>
              <c:idx val="0"/>
              <c:layout>
                <c:manualLayout>
                  <c:x val="-6.2935597898432921E-2"/>
                  <c:y val="-4.7619047619047693E-2"/>
                </c:manualLayout>
              </c:layout>
              <c:showLegendKey val="0"/>
              <c:showVal val="1"/>
              <c:showCatName val="0"/>
              <c:showSerName val="0"/>
              <c:showPercent val="0"/>
              <c:showBubbleSize val="0"/>
            </c:dLbl>
            <c:showLegendKey val="0"/>
            <c:showVal val="1"/>
            <c:showCatName val="0"/>
            <c:showSerName val="0"/>
            <c:showPercent val="0"/>
            <c:showBubbleSize val="0"/>
            <c:showLeaderLines val="0"/>
          </c:dLbls>
          <c:xVal>
            <c:numRef>
              <c:f>'Prod Quant Chem Reactor'!$AD$16:$AD$17</c:f>
              <c:numCache>
                <c:formatCode>General</c:formatCode>
                <c:ptCount val="2"/>
                <c:pt idx="0">
                  <c:v>-1</c:v>
                </c:pt>
                <c:pt idx="1">
                  <c:v>1</c:v>
                </c:pt>
              </c:numCache>
            </c:numRef>
          </c:xVal>
          <c:yVal>
            <c:numRef>
              <c:f>'Prod Quant Chem Reactor'!$AG$40:$AG$41</c:f>
              <c:numCache>
                <c:formatCode>General</c:formatCode>
                <c:ptCount val="2"/>
                <c:pt idx="0">
                  <c:v>70</c:v>
                </c:pt>
                <c:pt idx="1">
                  <c:v>74</c:v>
                </c:pt>
              </c:numCache>
            </c:numRef>
          </c:yVal>
          <c:smooth val="0"/>
        </c:ser>
        <c:dLbls>
          <c:showLegendKey val="0"/>
          <c:showVal val="0"/>
          <c:showCatName val="0"/>
          <c:showSerName val="0"/>
          <c:showPercent val="0"/>
          <c:showBubbleSize val="0"/>
        </c:dLbls>
        <c:axId val="129846080"/>
        <c:axId val="129846656"/>
      </c:scatterChart>
      <c:valAx>
        <c:axId val="129846080"/>
        <c:scaling>
          <c:orientation val="minMax"/>
          <c:max val="1.5"/>
          <c:min val="-1.5"/>
        </c:scaling>
        <c:delete val="1"/>
        <c:axPos val="b"/>
        <c:majorGridlines/>
        <c:numFmt formatCode="General" sourceLinked="1"/>
        <c:majorTickMark val="out"/>
        <c:minorTickMark val="out"/>
        <c:tickLblPos val="nextTo"/>
        <c:crossAx val="129846656"/>
        <c:crosses val="autoZero"/>
        <c:crossBetween val="midCat"/>
        <c:majorUnit val="0.5"/>
        <c:minorUnit val="0.5"/>
      </c:valAx>
      <c:valAx>
        <c:axId val="129846656"/>
        <c:scaling>
          <c:orientation val="minMax"/>
          <c:max val="85"/>
          <c:min val="65"/>
        </c:scaling>
        <c:delete val="0"/>
        <c:axPos val="l"/>
        <c:majorGridlines/>
        <c:title>
          <c:tx>
            <c:rich>
              <a:bodyPr rot="0" vert="horz"/>
              <a:lstStyle/>
              <a:p>
                <a:pPr>
                  <a:defRPr/>
                </a:pPr>
                <a:r>
                  <a:rPr lang="de-DE"/>
                  <a:t>Response y</a:t>
                </a:r>
              </a:p>
            </c:rich>
          </c:tx>
          <c:layout>
            <c:manualLayout>
              <c:xMode val="edge"/>
              <c:yMode val="edge"/>
              <c:x val="4.3681747269890756E-2"/>
              <c:y val="2.4456942882139891E-2"/>
            </c:manualLayout>
          </c:layout>
          <c:overlay val="0"/>
        </c:title>
        <c:numFmt formatCode="General" sourceLinked="1"/>
        <c:majorTickMark val="out"/>
        <c:minorTickMark val="none"/>
        <c:tickLblPos val="nextTo"/>
        <c:crossAx val="129846080"/>
        <c:crossesAt val="-2"/>
        <c:crossBetween val="midCat"/>
        <c:majorUnit val="5"/>
        <c:minorUnit val="2"/>
      </c:valAx>
    </c:plotArea>
    <c:legend>
      <c:legendPos val="r"/>
      <c:layout>
        <c:manualLayout>
          <c:xMode val="edge"/>
          <c:yMode val="edge"/>
          <c:x val="0.6661383180760958"/>
          <c:y val="0.37098581427321703"/>
          <c:w val="0.31530324563088236"/>
          <c:h val="0.21663229596300465"/>
        </c:manualLayout>
      </c:layout>
      <c:overlay val="0"/>
      <c:spPr>
        <a:solidFill>
          <a:schemeClr val="bg1"/>
        </a:solidFill>
        <a:ln>
          <a:solidFill>
            <a:schemeClr val="tx1"/>
          </a:solidFill>
        </a:ln>
      </c:spPr>
    </c:legend>
    <c:plotVisOnly val="1"/>
    <c:dispBlanksAs val="gap"/>
    <c:showDLblsOverMax val="0"/>
  </c:chart>
  <c:spPr>
    <a:ln>
      <a:solidFill>
        <a:schemeClr val="tx1"/>
      </a:solidFill>
    </a:ln>
  </c:spPr>
  <c:txPr>
    <a:bodyPr/>
    <a:lstStyle/>
    <a:p>
      <a:pPr>
        <a:defRPr sz="1200" b="1"/>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Main effects A and B</a:t>
            </a:r>
          </a:p>
        </c:rich>
      </c:tx>
      <c:layout>
        <c:manualLayout>
          <c:xMode val="edge"/>
          <c:yMode val="edge"/>
          <c:x val="0.38184493189427032"/>
          <c:y val="2.1187586845761927E-2"/>
        </c:manualLayout>
      </c:layout>
      <c:overlay val="1"/>
      <c:spPr>
        <a:solidFill>
          <a:schemeClr val="bg1"/>
        </a:solidFill>
      </c:spPr>
    </c:title>
    <c:autoTitleDeleted val="0"/>
    <c:plotArea>
      <c:layout>
        <c:manualLayout>
          <c:layoutTarget val="inner"/>
          <c:xMode val="edge"/>
          <c:yMode val="edge"/>
          <c:x val="0.14895862654849426"/>
          <c:y val="0.1329396325459333"/>
          <c:w val="0.60197182382760195"/>
          <c:h val="0.68156641878098556"/>
        </c:manualLayout>
      </c:layout>
      <c:scatterChart>
        <c:scatterStyle val="lineMarker"/>
        <c:varyColors val="0"/>
        <c:ser>
          <c:idx val="0"/>
          <c:order val="0"/>
          <c:tx>
            <c:strRef>
              <c:f>'Prod Quant Chem Reactor'!$AE$14:$AE$15</c:f>
              <c:strCache>
                <c:ptCount val="1"/>
                <c:pt idx="0">
                  <c:v>A Temperature</c:v>
                </c:pt>
              </c:strCache>
            </c:strRef>
          </c:tx>
          <c:spPr>
            <a:ln w="22225">
              <a:solidFill>
                <a:schemeClr val="tx1"/>
              </a:solidFill>
            </a:ln>
          </c:spPr>
          <c:marker>
            <c:symbol val="x"/>
            <c:size val="7"/>
            <c:spPr>
              <a:noFill/>
              <a:ln>
                <a:solidFill>
                  <a:schemeClr val="tx1"/>
                </a:solidFill>
              </a:ln>
            </c:spPr>
          </c:marker>
          <c:dLbls>
            <c:dLbl>
              <c:idx val="0"/>
              <c:layout>
                <c:manualLayout>
                  <c:x val="-2.3557121661033054E-3"/>
                  <c:y val="-5.9171597633136092E-2"/>
                </c:manualLayout>
              </c:layout>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xVal>
            <c:numRef>
              <c:f>'Prod Quant Chem Reactor'!$AD$16:$AD$17</c:f>
              <c:numCache>
                <c:formatCode>General</c:formatCode>
                <c:ptCount val="2"/>
                <c:pt idx="0">
                  <c:v>-1</c:v>
                </c:pt>
                <c:pt idx="1">
                  <c:v>1</c:v>
                </c:pt>
              </c:numCache>
            </c:numRef>
          </c:xVal>
          <c:yVal>
            <c:numRef>
              <c:f>'Prod Quant Chem Reactor'!$AE$16:$AE$17</c:f>
              <c:numCache>
                <c:formatCode>0.00</c:formatCode>
                <c:ptCount val="2"/>
                <c:pt idx="0">
                  <c:v>75</c:v>
                </c:pt>
                <c:pt idx="1">
                  <c:v>78</c:v>
                </c:pt>
              </c:numCache>
            </c:numRef>
          </c:yVal>
          <c:smooth val="0"/>
        </c:ser>
        <c:ser>
          <c:idx val="1"/>
          <c:order val="1"/>
          <c:tx>
            <c:strRef>
              <c:f>'Prod Quant Chem Reactor'!$AF$14:$AF$15</c:f>
              <c:strCache>
                <c:ptCount val="1"/>
                <c:pt idx="0">
                  <c:v>B Retention time</c:v>
                </c:pt>
              </c:strCache>
            </c:strRef>
          </c:tx>
          <c:spPr>
            <a:ln w="22225">
              <a:solidFill>
                <a:schemeClr val="tx1"/>
              </a:solidFill>
              <a:prstDash val="sysDash"/>
            </a:ln>
          </c:spPr>
          <c:marker>
            <c:symbol val="x"/>
            <c:size val="7"/>
            <c:spPr>
              <a:noFill/>
              <a:ln>
                <a:solidFill>
                  <a:schemeClr val="tx1"/>
                </a:solidFill>
              </a:ln>
            </c:spPr>
          </c:marker>
          <c:dLbls>
            <c:dLbl>
              <c:idx val="0"/>
              <c:layout>
                <c:manualLayout>
                  <c:x val="7.0671364983099158E-3"/>
                  <c:y val="3.9447731755424063E-2"/>
                </c:manualLayout>
              </c:layout>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xVal>
            <c:numRef>
              <c:f>'Prod Quant Chem Reactor'!$AD$16:$AD$17</c:f>
              <c:numCache>
                <c:formatCode>General</c:formatCode>
                <c:ptCount val="2"/>
                <c:pt idx="0">
                  <c:v>-1</c:v>
                </c:pt>
                <c:pt idx="1">
                  <c:v>1</c:v>
                </c:pt>
              </c:numCache>
            </c:numRef>
          </c:xVal>
          <c:yVal>
            <c:numRef>
              <c:f>'Prod Quant Chem Reactor'!$AF$16:$AF$17</c:f>
              <c:numCache>
                <c:formatCode>0.00</c:formatCode>
                <c:ptCount val="2"/>
                <c:pt idx="0">
                  <c:v>72</c:v>
                </c:pt>
                <c:pt idx="1">
                  <c:v>81</c:v>
                </c:pt>
              </c:numCache>
            </c:numRef>
          </c:yVal>
          <c:smooth val="0"/>
        </c:ser>
        <c:dLbls>
          <c:showLegendKey val="0"/>
          <c:showVal val="0"/>
          <c:showCatName val="0"/>
          <c:showSerName val="0"/>
          <c:showPercent val="0"/>
          <c:showBubbleSize val="0"/>
        </c:dLbls>
        <c:axId val="129848960"/>
        <c:axId val="129849536"/>
      </c:scatterChart>
      <c:valAx>
        <c:axId val="129848960"/>
        <c:scaling>
          <c:orientation val="minMax"/>
          <c:max val="1.5"/>
          <c:min val="-1.5"/>
        </c:scaling>
        <c:delete val="1"/>
        <c:axPos val="b"/>
        <c:majorGridlines/>
        <c:numFmt formatCode="General" sourceLinked="1"/>
        <c:majorTickMark val="out"/>
        <c:minorTickMark val="out"/>
        <c:tickLblPos val="nextTo"/>
        <c:crossAx val="129849536"/>
        <c:crosses val="autoZero"/>
        <c:crossBetween val="midCat"/>
        <c:majorUnit val="0.5"/>
        <c:minorUnit val="0.5"/>
      </c:valAx>
      <c:valAx>
        <c:axId val="129849536"/>
        <c:scaling>
          <c:orientation val="minMax"/>
          <c:max val="85"/>
          <c:min val="65"/>
        </c:scaling>
        <c:delete val="0"/>
        <c:axPos val="l"/>
        <c:majorGridlines/>
        <c:title>
          <c:tx>
            <c:rich>
              <a:bodyPr rot="0" vert="horz"/>
              <a:lstStyle/>
              <a:p>
                <a:pPr>
                  <a:defRPr/>
                </a:pPr>
                <a:r>
                  <a:rPr lang="en-US"/>
                  <a:t>Response y</a:t>
                </a:r>
              </a:p>
            </c:rich>
          </c:tx>
          <c:layout>
            <c:manualLayout>
              <c:xMode val="edge"/>
              <c:yMode val="edge"/>
              <c:x val="4.3681747269890756E-2"/>
              <c:y val="2.4456942882139898E-2"/>
            </c:manualLayout>
          </c:layout>
          <c:overlay val="0"/>
        </c:title>
        <c:numFmt formatCode="0" sourceLinked="0"/>
        <c:majorTickMark val="out"/>
        <c:minorTickMark val="none"/>
        <c:tickLblPos val="nextTo"/>
        <c:crossAx val="129848960"/>
        <c:crossesAt val="-2"/>
        <c:crossBetween val="midCat"/>
        <c:majorUnit val="5"/>
        <c:minorUnit val="2"/>
      </c:valAx>
    </c:plotArea>
    <c:legend>
      <c:legendPos val="r"/>
      <c:layout>
        <c:manualLayout>
          <c:xMode val="edge"/>
          <c:yMode val="edge"/>
          <c:x val="0.6381601309737277"/>
          <c:y val="0.5376524809398826"/>
          <c:w val="0.28224139891462879"/>
          <c:h val="0.19258786438677414"/>
        </c:manualLayout>
      </c:layout>
      <c:overlay val="0"/>
      <c:spPr>
        <a:solidFill>
          <a:schemeClr val="bg1"/>
        </a:solidFill>
        <a:ln>
          <a:solidFill>
            <a:schemeClr val="tx1"/>
          </a:solidFill>
        </a:ln>
      </c:spPr>
    </c:legend>
    <c:plotVisOnly val="1"/>
    <c:dispBlanksAs val="gap"/>
    <c:showDLblsOverMax val="0"/>
  </c:chart>
  <c:spPr>
    <a:ln>
      <a:solidFill>
        <a:schemeClr val="tx1"/>
      </a:solidFill>
    </a:ln>
  </c:spPr>
  <c:txPr>
    <a:bodyPr/>
    <a:lstStyle/>
    <a:p>
      <a:pPr>
        <a:defRPr sz="1200" b="1"/>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Interaction AB: y=f(B) with parameter A</a:t>
            </a:r>
          </a:p>
        </c:rich>
      </c:tx>
      <c:layout>
        <c:manualLayout>
          <c:xMode val="edge"/>
          <c:yMode val="edge"/>
          <c:x val="0.32922728499091447"/>
          <c:y val="2.1440822804126229E-2"/>
        </c:manualLayout>
      </c:layout>
      <c:overlay val="1"/>
      <c:spPr>
        <a:solidFill>
          <a:schemeClr val="bg1"/>
        </a:solidFill>
      </c:spPr>
    </c:title>
    <c:autoTitleDeleted val="0"/>
    <c:plotArea>
      <c:layout>
        <c:manualLayout>
          <c:layoutTarget val="inner"/>
          <c:xMode val="edge"/>
          <c:yMode val="edge"/>
          <c:x val="0.14895862654849426"/>
          <c:y val="0.1329396325459333"/>
          <c:w val="0.55485767177653522"/>
          <c:h val="0.68156641878098556"/>
        </c:manualLayout>
      </c:layout>
      <c:scatterChart>
        <c:scatterStyle val="lineMarker"/>
        <c:varyColors val="0"/>
        <c:ser>
          <c:idx val="0"/>
          <c:order val="0"/>
          <c:tx>
            <c:strRef>
              <c:f>'Prod Quant Chem Reactor'!$AD$65:$AD$66</c:f>
              <c:strCache>
                <c:ptCount val="1"/>
                <c:pt idx="0">
                  <c:v>Temperature  A low</c:v>
                </c:pt>
              </c:strCache>
            </c:strRef>
          </c:tx>
          <c:spPr>
            <a:ln w="22225" cmpd="sng">
              <a:solidFill>
                <a:schemeClr val="tx1"/>
              </a:solidFill>
              <a:prstDash val="sysDash"/>
            </a:ln>
          </c:spPr>
          <c:marker>
            <c:symbol val="x"/>
            <c:size val="7"/>
            <c:spPr>
              <a:noFill/>
              <a:ln>
                <a:solidFill>
                  <a:schemeClr val="tx1"/>
                </a:solidFill>
              </a:ln>
            </c:spPr>
          </c:marker>
          <c:dLbls>
            <c:dLbl>
              <c:idx val="0"/>
              <c:layout>
                <c:manualLayout>
                  <c:x val="-6.183115647631867E-2"/>
                  <c:y val="4.6511627906976605E-2"/>
                </c:manualLayout>
              </c:layout>
              <c:showLegendKey val="0"/>
              <c:showVal val="1"/>
              <c:showCatName val="0"/>
              <c:showSerName val="0"/>
              <c:showPercent val="0"/>
              <c:showBubbleSize val="0"/>
            </c:dLbl>
            <c:showLegendKey val="0"/>
            <c:showVal val="1"/>
            <c:showCatName val="0"/>
            <c:showSerName val="0"/>
            <c:showPercent val="0"/>
            <c:showBubbleSize val="0"/>
            <c:showLeaderLines val="0"/>
          </c:dLbls>
          <c:xVal>
            <c:numRef>
              <c:f>'Prod Quant Chem Reactor'!$AD$16:$AD$17</c:f>
              <c:numCache>
                <c:formatCode>General</c:formatCode>
                <c:ptCount val="2"/>
                <c:pt idx="0">
                  <c:v>-1</c:v>
                </c:pt>
                <c:pt idx="1">
                  <c:v>1</c:v>
                </c:pt>
              </c:numCache>
            </c:numRef>
          </c:xVal>
          <c:yVal>
            <c:numRef>
              <c:f>'Prod Quant Chem Reactor'!$AG$65:$AG$66</c:f>
              <c:numCache>
                <c:formatCode>General</c:formatCode>
                <c:ptCount val="2"/>
                <c:pt idx="0">
                  <c:v>70</c:v>
                </c:pt>
                <c:pt idx="1">
                  <c:v>80</c:v>
                </c:pt>
              </c:numCache>
            </c:numRef>
          </c:yVal>
          <c:smooth val="0"/>
        </c:ser>
        <c:ser>
          <c:idx val="1"/>
          <c:order val="1"/>
          <c:tx>
            <c:strRef>
              <c:f>'Prod Quant Chem Reactor'!$AD$67:$AD$68</c:f>
              <c:strCache>
                <c:ptCount val="1"/>
                <c:pt idx="0">
                  <c:v>Temperature  A high</c:v>
                </c:pt>
              </c:strCache>
            </c:strRef>
          </c:tx>
          <c:spPr>
            <a:ln w="22225">
              <a:solidFill>
                <a:schemeClr val="tx1"/>
              </a:solidFill>
              <a:prstDash val="solid"/>
            </a:ln>
          </c:spPr>
          <c:marker>
            <c:symbol val="x"/>
            <c:size val="7"/>
            <c:spPr>
              <a:noFill/>
              <a:ln>
                <a:solidFill>
                  <a:schemeClr val="tx1"/>
                </a:solidFill>
              </a:ln>
            </c:spPr>
          </c:marker>
          <c:dLbls>
            <c:dLbl>
              <c:idx val="0"/>
              <c:layout>
                <c:manualLayout>
                  <c:x val="-6.5953233574739908E-2"/>
                  <c:y val="3.875968992248062E-3"/>
                </c:manualLayout>
              </c:layout>
              <c:showLegendKey val="0"/>
              <c:showVal val="1"/>
              <c:showCatName val="0"/>
              <c:showSerName val="0"/>
              <c:showPercent val="0"/>
              <c:showBubbleSize val="0"/>
            </c:dLbl>
            <c:showLegendKey val="0"/>
            <c:showVal val="1"/>
            <c:showCatName val="0"/>
            <c:showSerName val="0"/>
            <c:showPercent val="0"/>
            <c:showBubbleSize val="0"/>
            <c:showLeaderLines val="0"/>
          </c:dLbls>
          <c:xVal>
            <c:numRef>
              <c:f>'Prod Quant Chem Reactor'!$AD$16:$AD$17</c:f>
              <c:numCache>
                <c:formatCode>General</c:formatCode>
                <c:ptCount val="2"/>
                <c:pt idx="0">
                  <c:v>-1</c:v>
                </c:pt>
                <c:pt idx="1">
                  <c:v>1</c:v>
                </c:pt>
              </c:numCache>
            </c:numRef>
          </c:xVal>
          <c:yVal>
            <c:numRef>
              <c:f>'Prod Quant Chem Reactor'!$AG$67:$AG$68</c:f>
              <c:numCache>
                <c:formatCode>General</c:formatCode>
                <c:ptCount val="2"/>
                <c:pt idx="0">
                  <c:v>74</c:v>
                </c:pt>
                <c:pt idx="1">
                  <c:v>82</c:v>
                </c:pt>
              </c:numCache>
            </c:numRef>
          </c:yVal>
          <c:smooth val="0"/>
        </c:ser>
        <c:dLbls>
          <c:showLegendKey val="0"/>
          <c:showVal val="0"/>
          <c:showCatName val="0"/>
          <c:showSerName val="0"/>
          <c:showPercent val="0"/>
          <c:showBubbleSize val="0"/>
        </c:dLbls>
        <c:axId val="132391488"/>
        <c:axId val="132392064"/>
      </c:scatterChart>
      <c:valAx>
        <c:axId val="132391488"/>
        <c:scaling>
          <c:orientation val="minMax"/>
          <c:max val="1.5"/>
          <c:min val="-1.5"/>
        </c:scaling>
        <c:delete val="1"/>
        <c:axPos val="b"/>
        <c:majorGridlines/>
        <c:numFmt formatCode="General" sourceLinked="1"/>
        <c:majorTickMark val="out"/>
        <c:minorTickMark val="out"/>
        <c:tickLblPos val="nextTo"/>
        <c:crossAx val="132392064"/>
        <c:crosses val="autoZero"/>
        <c:crossBetween val="midCat"/>
        <c:majorUnit val="0.5"/>
        <c:minorUnit val="0.5"/>
      </c:valAx>
      <c:valAx>
        <c:axId val="132392064"/>
        <c:scaling>
          <c:orientation val="minMax"/>
          <c:max val="85"/>
          <c:min val="65"/>
        </c:scaling>
        <c:delete val="0"/>
        <c:axPos val="l"/>
        <c:majorGridlines/>
        <c:title>
          <c:tx>
            <c:rich>
              <a:bodyPr rot="0" vert="horz"/>
              <a:lstStyle/>
              <a:p>
                <a:pPr>
                  <a:defRPr/>
                </a:pPr>
                <a:r>
                  <a:rPr lang="en-US"/>
                  <a:t>Response y</a:t>
                </a:r>
              </a:p>
            </c:rich>
          </c:tx>
          <c:layout>
            <c:manualLayout>
              <c:xMode val="edge"/>
              <c:yMode val="edge"/>
              <c:x val="4.3681747269890756E-2"/>
              <c:y val="2.4456942882139898E-2"/>
            </c:manualLayout>
          </c:layout>
          <c:overlay val="0"/>
        </c:title>
        <c:numFmt formatCode="General" sourceLinked="1"/>
        <c:majorTickMark val="out"/>
        <c:minorTickMark val="none"/>
        <c:tickLblPos val="nextTo"/>
        <c:crossAx val="132391488"/>
        <c:crossesAt val="-2"/>
        <c:crossBetween val="midCat"/>
        <c:majorUnit val="5"/>
        <c:minorUnit val="2"/>
      </c:valAx>
    </c:plotArea>
    <c:legend>
      <c:legendPos val="r"/>
      <c:layout>
        <c:manualLayout>
          <c:xMode val="edge"/>
          <c:yMode val="edge"/>
          <c:x val="0.54193867853610822"/>
          <c:y val="0.47176097173899784"/>
          <c:w val="0.34420697172754428"/>
          <c:h val="0.23352041750595132"/>
        </c:manualLayout>
      </c:layout>
      <c:overlay val="0"/>
      <c:spPr>
        <a:solidFill>
          <a:schemeClr val="bg1"/>
        </a:solidFill>
        <a:ln>
          <a:solidFill>
            <a:schemeClr val="tx1"/>
          </a:solidFill>
        </a:ln>
      </c:spPr>
    </c:legend>
    <c:plotVisOnly val="1"/>
    <c:dispBlanksAs val="gap"/>
    <c:showDLblsOverMax val="0"/>
  </c:chart>
  <c:spPr>
    <a:ln>
      <a:solidFill>
        <a:schemeClr val="tx1"/>
      </a:solidFill>
    </a:ln>
  </c:spPr>
  <c:txPr>
    <a:bodyPr/>
    <a:lstStyle/>
    <a:p>
      <a:pPr>
        <a:defRPr sz="1200" b="1"/>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Interaction AB: y=f(A) with parameter B</a:t>
            </a:r>
            <a:endParaRPr lang="de-DE"/>
          </a:p>
        </c:rich>
      </c:tx>
      <c:layout>
        <c:manualLayout>
          <c:xMode val="edge"/>
          <c:yMode val="edge"/>
          <c:x val="0.29654220420581601"/>
          <c:y val="2.5132273788455405E-2"/>
        </c:manualLayout>
      </c:layout>
      <c:overlay val="1"/>
      <c:spPr>
        <a:solidFill>
          <a:schemeClr val="bg1"/>
        </a:solidFill>
      </c:spPr>
    </c:title>
    <c:autoTitleDeleted val="0"/>
    <c:plotArea>
      <c:layout>
        <c:manualLayout>
          <c:layoutTarget val="inner"/>
          <c:xMode val="edge"/>
          <c:yMode val="edge"/>
          <c:x val="0.16847081919638093"/>
          <c:y val="0.18055868016497956"/>
          <c:w val="0.55485767177653522"/>
          <c:h val="0.68156641878098556"/>
        </c:manualLayout>
      </c:layout>
      <c:scatterChart>
        <c:scatterStyle val="lineMarker"/>
        <c:varyColors val="0"/>
        <c:ser>
          <c:idx val="0"/>
          <c:order val="0"/>
          <c:tx>
            <c:strRef>
              <c:f>'Yield Hidden Effects'!$AM$56:$AM$57</c:f>
              <c:strCache>
                <c:ptCount val="1"/>
                <c:pt idx="0">
                  <c:v>Pressure  B high</c:v>
                </c:pt>
              </c:strCache>
            </c:strRef>
          </c:tx>
          <c:spPr>
            <a:ln w="22225" cmpd="sng">
              <a:solidFill>
                <a:schemeClr val="tx1"/>
              </a:solidFill>
            </a:ln>
          </c:spPr>
          <c:marker>
            <c:symbol val="x"/>
            <c:size val="7"/>
            <c:spPr>
              <a:noFill/>
              <a:ln>
                <a:solidFill>
                  <a:schemeClr val="tx1"/>
                </a:solidFill>
              </a:ln>
            </c:spPr>
          </c:marker>
          <c:dLbls>
            <c:dLbl>
              <c:idx val="0"/>
              <c:layout>
                <c:manualLayout>
                  <c:x val="-6.2767472215509287E-3"/>
                  <c:y val="2.9030134447873765E-2"/>
                </c:manualLayout>
              </c:layout>
              <c:showLegendKey val="0"/>
              <c:showVal val="1"/>
              <c:showCatName val="0"/>
              <c:showSerName val="0"/>
              <c:showPercent val="0"/>
              <c:showBubbleSize val="0"/>
            </c:dLbl>
            <c:showLegendKey val="0"/>
            <c:showVal val="1"/>
            <c:showCatName val="0"/>
            <c:showSerName val="0"/>
            <c:showPercent val="0"/>
            <c:showBubbleSize val="0"/>
            <c:showLeaderLines val="0"/>
          </c:dLbls>
          <c:xVal>
            <c:numRef>
              <c:f>'Yield Hidden Effects'!$AN$56:$AN$57</c:f>
              <c:numCache>
                <c:formatCode>General</c:formatCode>
                <c:ptCount val="2"/>
                <c:pt idx="0">
                  <c:v>100</c:v>
                </c:pt>
                <c:pt idx="1">
                  <c:v>140</c:v>
                </c:pt>
              </c:numCache>
            </c:numRef>
          </c:xVal>
          <c:yVal>
            <c:numRef>
              <c:f>'Yield Hidden Effects'!$AQ$56:$AQ$57</c:f>
              <c:numCache>
                <c:formatCode>General</c:formatCode>
                <c:ptCount val="2"/>
                <c:pt idx="0">
                  <c:v>74.64</c:v>
                </c:pt>
                <c:pt idx="1">
                  <c:v>79.64</c:v>
                </c:pt>
              </c:numCache>
            </c:numRef>
          </c:yVal>
          <c:smooth val="0"/>
        </c:ser>
        <c:ser>
          <c:idx val="1"/>
          <c:order val="1"/>
          <c:tx>
            <c:strRef>
              <c:f>'Yield Hidden Effects'!$AM$54:$AM$55</c:f>
              <c:strCache>
                <c:ptCount val="1"/>
                <c:pt idx="0">
                  <c:v>Pressure  B low</c:v>
                </c:pt>
              </c:strCache>
            </c:strRef>
          </c:tx>
          <c:spPr>
            <a:ln w="22225">
              <a:solidFill>
                <a:schemeClr val="tx1"/>
              </a:solidFill>
              <a:prstDash val="dash"/>
            </a:ln>
          </c:spPr>
          <c:marker>
            <c:symbol val="x"/>
            <c:size val="7"/>
            <c:spPr>
              <a:noFill/>
              <a:ln>
                <a:solidFill>
                  <a:schemeClr val="tx1"/>
                </a:solidFill>
              </a:ln>
            </c:spPr>
          </c:marker>
          <c:dLbls>
            <c:dLbl>
              <c:idx val="0"/>
              <c:layout>
                <c:manualLayout>
                  <c:x val="-1.4645743516952116E-2"/>
                  <c:y val="5.4834698401539331E-2"/>
                </c:manualLayout>
              </c:layout>
              <c:showLegendKey val="0"/>
              <c:showVal val="1"/>
              <c:showCatName val="0"/>
              <c:showSerName val="0"/>
              <c:showPercent val="0"/>
              <c:showBubbleSize val="0"/>
            </c:dLbl>
            <c:showLegendKey val="0"/>
            <c:showVal val="1"/>
            <c:showCatName val="0"/>
            <c:showSerName val="0"/>
            <c:showPercent val="0"/>
            <c:showBubbleSize val="0"/>
            <c:showLeaderLines val="0"/>
          </c:dLbls>
          <c:xVal>
            <c:numRef>
              <c:f>'Yield Hidden Effects'!$AN$54:$AN$55</c:f>
              <c:numCache>
                <c:formatCode>General</c:formatCode>
                <c:ptCount val="2"/>
                <c:pt idx="0">
                  <c:v>100</c:v>
                </c:pt>
                <c:pt idx="1">
                  <c:v>140</c:v>
                </c:pt>
              </c:numCache>
            </c:numRef>
          </c:xVal>
          <c:yVal>
            <c:numRef>
              <c:f>'Yield Hidden Effects'!$AQ$54:$AQ$55</c:f>
              <c:numCache>
                <c:formatCode>General</c:formatCode>
                <c:ptCount val="2"/>
                <c:pt idx="0">
                  <c:v>79.62</c:v>
                </c:pt>
                <c:pt idx="1">
                  <c:v>77.48</c:v>
                </c:pt>
              </c:numCache>
            </c:numRef>
          </c:yVal>
          <c:smooth val="0"/>
        </c:ser>
        <c:ser>
          <c:idx val="2"/>
          <c:order val="2"/>
          <c:tx>
            <c:strRef>
              <c:f>'Yield Hidden Effects'!$AJ$38</c:f>
              <c:strCache>
                <c:ptCount val="1"/>
                <c:pt idx="0">
                  <c:v>Blow_Regr</c:v>
                </c:pt>
              </c:strCache>
            </c:strRef>
          </c:tx>
          <c:spPr>
            <a:ln w="22225">
              <a:solidFill>
                <a:schemeClr val="tx1"/>
              </a:solidFill>
              <a:prstDash val="dash"/>
            </a:ln>
          </c:spPr>
          <c:marker>
            <c:symbol val="none"/>
          </c:marker>
          <c:xVal>
            <c:numRef>
              <c:f>'Yield Hidden Effects'!$AG$46:$AG$72</c:f>
              <c:numCache>
                <c:formatCode>General</c:formatCode>
                <c:ptCount val="27"/>
                <c:pt idx="0">
                  <c:v>94</c:v>
                </c:pt>
                <c:pt idx="1">
                  <c:v>96</c:v>
                </c:pt>
                <c:pt idx="2">
                  <c:v>98</c:v>
                </c:pt>
                <c:pt idx="3">
                  <c:v>100</c:v>
                </c:pt>
                <c:pt idx="4">
                  <c:v>102</c:v>
                </c:pt>
                <c:pt idx="5">
                  <c:v>104</c:v>
                </c:pt>
                <c:pt idx="6">
                  <c:v>106</c:v>
                </c:pt>
                <c:pt idx="7">
                  <c:v>108</c:v>
                </c:pt>
                <c:pt idx="8">
                  <c:v>110</c:v>
                </c:pt>
                <c:pt idx="9">
                  <c:v>112</c:v>
                </c:pt>
                <c:pt idx="10">
                  <c:v>114</c:v>
                </c:pt>
                <c:pt idx="11">
                  <c:v>116</c:v>
                </c:pt>
                <c:pt idx="12">
                  <c:v>118</c:v>
                </c:pt>
                <c:pt idx="13">
                  <c:v>120</c:v>
                </c:pt>
                <c:pt idx="14">
                  <c:v>122</c:v>
                </c:pt>
                <c:pt idx="15">
                  <c:v>124</c:v>
                </c:pt>
                <c:pt idx="16">
                  <c:v>126</c:v>
                </c:pt>
                <c:pt idx="17">
                  <c:v>128</c:v>
                </c:pt>
                <c:pt idx="18">
                  <c:v>130</c:v>
                </c:pt>
                <c:pt idx="19">
                  <c:v>132</c:v>
                </c:pt>
                <c:pt idx="20">
                  <c:v>134</c:v>
                </c:pt>
                <c:pt idx="21">
                  <c:v>136</c:v>
                </c:pt>
                <c:pt idx="22">
                  <c:v>138</c:v>
                </c:pt>
                <c:pt idx="23">
                  <c:v>140</c:v>
                </c:pt>
                <c:pt idx="24">
                  <c:v>142</c:v>
                </c:pt>
                <c:pt idx="25">
                  <c:v>144</c:v>
                </c:pt>
                <c:pt idx="26">
                  <c:v>146</c:v>
                </c:pt>
              </c:numCache>
            </c:numRef>
          </c:xVal>
          <c:yVal>
            <c:numRef>
              <c:f>'Yield Hidden Effects'!$AJ$46:$AJ$72</c:f>
              <c:numCache>
                <c:formatCode>0.00</c:formatCode>
                <c:ptCount val="27"/>
                <c:pt idx="0">
                  <c:v>78.25049999999996</c:v>
                </c:pt>
                <c:pt idx="1">
                  <c:v>78.755999999999972</c:v>
                </c:pt>
                <c:pt idx="2">
                  <c:v>79.212499999999991</c:v>
                </c:pt>
                <c:pt idx="3">
                  <c:v>79.619999999999976</c:v>
                </c:pt>
                <c:pt idx="4">
                  <c:v>79.978499999999997</c:v>
                </c:pt>
                <c:pt idx="5">
                  <c:v>80.287999999999982</c:v>
                </c:pt>
                <c:pt idx="6">
                  <c:v>80.548500000000004</c:v>
                </c:pt>
                <c:pt idx="7">
                  <c:v>80.759999999999991</c:v>
                </c:pt>
                <c:pt idx="8">
                  <c:v>80.922499999999999</c:v>
                </c:pt>
                <c:pt idx="9">
                  <c:v>81.036000000000016</c:v>
                </c:pt>
                <c:pt idx="10">
                  <c:v>81.100499999999997</c:v>
                </c:pt>
                <c:pt idx="11">
                  <c:v>81.116000000000014</c:v>
                </c:pt>
                <c:pt idx="12">
                  <c:v>81.082499999999996</c:v>
                </c:pt>
                <c:pt idx="13">
                  <c:v>81.000000000000014</c:v>
                </c:pt>
                <c:pt idx="14">
                  <c:v>80.868499999999997</c:v>
                </c:pt>
                <c:pt idx="15">
                  <c:v>80.688000000000017</c:v>
                </c:pt>
                <c:pt idx="16">
                  <c:v>80.458500000000001</c:v>
                </c:pt>
                <c:pt idx="17">
                  <c:v>80.180000000000007</c:v>
                </c:pt>
                <c:pt idx="18">
                  <c:v>79.85250000000002</c:v>
                </c:pt>
                <c:pt idx="19">
                  <c:v>79.475999999999999</c:v>
                </c:pt>
                <c:pt idx="20">
                  <c:v>79.050500000000014</c:v>
                </c:pt>
                <c:pt idx="21">
                  <c:v>78.575999999999993</c:v>
                </c:pt>
                <c:pt idx="22">
                  <c:v>78.052500000000009</c:v>
                </c:pt>
                <c:pt idx="23">
                  <c:v>77.47999999999999</c:v>
                </c:pt>
                <c:pt idx="24">
                  <c:v>76.858500000000006</c:v>
                </c:pt>
                <c:pt idx="25">
                  <c:v>76.187999999999988</c:v>
                </c:pt>
                <c:pt idx="26">
                  <c:v>75.468500000000006</c:v>
                </c:pt>
              </c:numCache>
            </c:numRef>
          </c:yVal>
          <c:smooth val="1"/>
        </c:ser>
        <c:ser>
          <c:idx val="3"/>
          <c:order val="3"/>
          <c:tx>
            <c:strRef>
              <c:f>'Yield Hidden Effects'!$AZ$38</c:f>
              <c:strCache>
                <c:ptCount val="1"/>
                <c:pt idx="0">
                  <c:v>Bhigh_Regr</c:v>
                </c:pt>
              </c:strCache>
            </c:strRef>
          </c:tx>
          <c:spPr>
            <a:ln w="22225">
              <a:solidFill>
                <a:schemeClr val="tx1"/>
              </a:solidFill>
            </a:ln>
          </c:spPr>
          <c:marker>
            <c:symbol val="none"/>
          </c:marker>
          <c:xVal>
            <c:numRef>
              <c:f>'Yield Hidden Effects'!$AW$46:$AW$72</c:f>
              <c:numCache>
                <c:formatCode>General</c:formatCode>
                <c:ptCount val="27"/>
                <c:pt idx="0">
                  <c:v>94</c:v>
                </c:pt>
                <c:pt idx="1">
                  <c:v>96</c:v>
                </c:pt>
                <c:pt idx="2">
                  <c:v>98</c:v>
                </c:pt>
                <c:pt idx="3">
                  <c:v>100</c:v>
                </c:pt>
                <c:pt idx="4">
                  <c:v>102</c:v>
                </c:pt>
                <c:pt idx="5">
                  <c:v>104</c:v>
                </c:pt>
                <c:pt idx="6">
                  <c:v>106</c:v>
                </c:pt>
                <c:pt idx="7">
                  <c:v>108</c:v>
                </c:pt>
                <c:pt idx="8">
                  <c:v>110</c:v>
                </c:pt>
                <c:pt idx="9">
                  <c:v>112</c:v>
                </c:pt>
                <c:pt idx="10">
                  <c:v>114</c:v>
                </c:pt>
                <c:pt idx="11">
                  <c:v>116</c:v>
                </c:pt>
                <c:pt idx="12">
                  <c:v>118</c:v>
                </c:pt>
                <c:pt idx="13">
                  <c:v>120</c:v>
                </c:pt>
                <c:pt idx="14">
                  <c:v>122</c:v>
                </c:pt>
                <c:pt idx="15">
                  <c:v>124</c:v>
                </c:pt>
                <c:pt idx="16">
                  <c:v>126</c:v>
                </c:pt>
                <c:pt idx="17">
                  <c:v>128</c:v>
                </c:pt>
                <c:pt idx="18">
                  <c:v>130</c:v>
                </c:pt>
                <c:pt idx="19">
                  <c:v>132</c:v>
                </c:pt>
                <c:pt idx="20">
                  <c:v>134</c:v>
                </c:pt>
                <c:pt idx="21">
                  <c:v>136</c:v>
                </c:pt>
                <c:pt idx="22">
                  <c:v>138</c:v>
                </c:pt>
                <c:pt idx="23">
                  <c:v>140</c:v>
                </c:pt>
                <c:pt idx="24">
                  <c:v>142</c:v>
                </c:pt>
                <c:pt idx="25">
                  <c:v>144</c:v>
                </c:pt>
                <c:pt idx="26">
                  <c:v>146</c:v>
                </c:pt>
              </c:numCache>
            </c:numRef>
          </c:xVal>
          <c:yVal>
            <c:numRef>
              <c:f>'Yield Hidden Effects'!$AZ$46:$AZ$72</c:f>
              <c:numCache>
                <c:formatCode>0.00</c:formatCode>
                <c:ptCount val="27"/>
                <c:pt idx="0">
                  <c:v>71.916599999999931</c:v>
                </c:pt>
                <c:pt idx="1">
                  <c:v>72.881599999999921</c:v>
                </c:pt>
                <c:pt idx="2">
                  <c:v>73.789399999999944</c:v>
                </c:pt>
                <c:pt idx="3">
                  <c:v>74.639999999999944</c:v>
                </c:pt>
                <c:pt idx="4">
                  <c:v>75.433399999999935</c:v>
                </c:pt>
                <c:pt idx="5">
                  <c:v>76.169599999999932</c:v>
                </c:pt>
                <c:pt idx="6">
                  <c:v>76.848599999999962</c:v>
                </c:pt>
                <c:pt idx="7">
                  <c:v>77.470399999999955</c:v>
                </c:pt>
                <c:pt idx="8">
                  <c:v>78.034999999999954</c:v>
                </c:pt>
                <c:pt idx="9">
                  <c:v>78.542399999999972</c:v>
                </c:pt>
                <c:pt idx="10">
                  <c:v>78.992599999999968</c:v>
                </c:pt>
                <c:pt idx="11">
                  <c:v>79.385599999999968</c:v>
                </c:pt>
                <c:pt idx="12">
                  <c:v>79.721399999999988</c:v>
                </c:pt>
                <c:pt idx="13">
                  <c:v>79.999999999999972</c:v>
                </c:pt>
                <c:pt idx="14">
                  <c:v>80.221399999999974</c:v>
                </c:pt>
                <c:pt idx="15">
                  <c:v>80.385599999999954</c:v>
                </c:pt>
                <c:pt idx="16">
                  <c:v>80.492599999999982</c:v>
                </c:pt>
                <c:pt idx="17">
                  <c:v>80.542399999999972</c:v>
                </c:pt>
                <c:pt idx="18">
                  <c:v>80.534999999999968</c:v>
                </c:pt>
                <c:pt idx="19">
                  <c:v>80.470399999999984</c:v>
                </c:pt>
                <c:pt idx="20">
                  <c:v>80.348599999999976</c:v>
                </c:pt>
                <c:pt idx="21">
                  <c:v>80.169599999999974</c:v>
                </c:pt>
                <c:pt idx="22">
                  <c:v>79.933399999999949</c:v>
                </c:pt>
                <c:pt idx="23">
                  <c:v>79.63999999999993</c:v>
                </c:pt>
                <c:pt idx="24">
                  <c:v>79.289399999999972</c:v>
                </c:pt>
                <c:pt idx="25">
                  <c:v>78.881599999999963</c:v>
                </c:pt>
                <c:pt idx="26">
                  <c:v>78.41659999999996</c:v>
                </c:pt>
              </c:numCache>
            </c:numRef>
          </c:yVal>
          <c:smooth val="0"/>
        </c:ser>
        <c:ser>
          <c:idx val="4"/>
          <c:order val="4"/>
          <c:tx>
            <c:strRef>
              <c:f>'Yield Hidden Effects'!$AO$45</c:f>
              <c:strCache>
                <c:ptCount val="1"/>
                <c:pt idx="0">
                  <c:v>Amin</c:v>
                </c:pt>
              </c:strCache>
            </c:strRef>
          </c:tx>
          <c:spPr>
            <a:ln w="22225">
              <a:solidFill>
                <a:schemeClr val="tx1"/>
              </a:solidFill>
            </a:ln>
          </c:spPr>
          <c:marker>
            <c:symbol val="none"/>
          </c:marker>
          <c:xVal>
            <c:numRef>
              <c:f>'Yield Hidden Effects'!$AM$45:$AM$46</c:f>
              <c:numCache>
                <c:formatCode>General</c:formatCode>
                <c:ptCount val="2"/>
                <c:pt idx="0">
                  <c:v>100</c:v>
                </c:pt>
                <c:pt idx="1">
                  <c:v>100</c:v>
                </c:pt>
              </c:numCache>
            </c:numRef>
          </c:xVal>
          <c:yVal>
            <c:numRef>
              <c:f>'Yield Hidden Effects'!$AN$45:$AN$46</c:f>
              <c:numCache>
                <c:formatCode>General</c:formatCode>
                <c:ptCount val="2"/>
                <c:pt idx="0">
                  <c:v>0</c:v>
                </c:pt>
                <c:pt idx="1">
                  <c:v>81</c:v>
                </c:pt>
              </c:numCache>
            </c:numRef>
          </c:yVal>
          <c:smooth val="0"/>
        </c:ser>
        <c:ser>
          <c:idx val="5"/>
          <c:order val="5"/>
          <c:tx>
            <c:strRef>
              <c:f>'Yield Hidden Effects'!$AO$48</c:f>
              <c:strCache>
                <c:ptCount val="1"/>
                <c:pt idx="0">
                  <c:v>Amax</c:v>
                </c:pt>
              </c:strCache>
            </c:strRef>
          </c:tx>
          <c:spPr>
            <a:ln w="22225">
              <a:solidFill>
                <a:schemeClr val="tx1"/>
              </a:solidFill>
            </a:ln>
          </c:spPr>
          <c:marker>
            <c:symbol val="none"/>
          </c:marker>
          <c:xVal>
            <c:numRef>
              <c:f>'Yield Hidden Effects'!$AM$48:$AM$49</c:f>
              <c:numCache>
                <c:formatCode>General</c:formatCode>
                <c:ptCount val="2"/>
                <c:pt idx="0">
                  <c:v>140</c:v>
                </c:pt>
                <c:pt idx="1">
                  <c:v>140</c:v>
                </c:pt>
              </c:numCache>
            </c:numRef>
          </c:xVal>
          <c:yVal>
            <c:numRef>
              <c:f>'Yield Hidden Effects'!$AN$48:$AN$49</c:f>
              <c:numCache>
                <c:formatCode>General</c:formatCode>
                <c:ptCount val="2"/>
                <c:pt idx="0">
                  <c:v>0</c:v>
                </c:pt>
                <c:pt idx="1">
                  <c:v>81</c:v>
                </c:pt>
              </c:numCache>
            </c:numRef>
          </c:yVal>
          <c:smooth val="0"/>
        </c:ser>
        <c:ser>
          <c:idx val="6"/>
          <c:order val="6"/>
          <c:tx>
            <c:v>max. Ausbeute</c:v>
          </c:tx>
          <c:marker>
            <c:symbol val="diamond"/>
            <c:size val="7"/>
            <c:spPr>
              <a:solidFill>
                <a:schemeClr val="tx1"/>
              </a:solidFill>
            </c:spPr>
          </c:marker>
          <c:dLbls>
            <c:dLbl>
              <c:idx val="0"/>
              <c:layout>
                <c:manualLayout>
                  <c:x val="4.184498147700594E-3"/>
                  <c:y val="-3.8706845930498383E-2"/>
                </c:manualLayout>
              </c:layout>
              <c:numFmt formatCode="#,##0" sourceLinked="0"/>
              <c:spPr/>
              <c:txPr>
                <a:bodyPr/>
                <a:lstStyle/>
                <a:p>
                  <a:pPr>
                    <a:defRPr/>
                  </a:pPr>
                  <a:endParaRPr lang="de-DE"/>
                </a:p>
              </c:txPr>
              <c:showLegendKey val="0"/>
              <c:showVal val="1"/>
              <c:showCatName val="1"/>
              <c:showSerName val="0"/>
              <c:showPercent val="0"/>
              <c:showBubbleSize val="0"/>
            </c:dLbl>
            <c:showLegendKey val="0"/>
            <c:showVal val="1"/>
            <c:showCatName val="0"/>
            <c:showSerName val="0"/>
            <c:showPercent val="0"/>
            <c:showBubbleSize val="0"/>
            <c:showLeaderLines val="0"/>
          </c:dLbls>
          <c:xVal>
            <c:numRef>
              <c:f>'Yield Hidden Effects'!$AG$57</c:f>
              <c:numCache>
                <c:formatCode>General</c:formatCode>
                <c:ptCount val="1"/>
                <c:pt idx="0">
                  <c:v>116</c:v>
                </c:pt>
              </c:numCache>
            </c:numRef>
          </c:xVal>
          <c:yVal>
            <c:numRef>
              <c:f>'Yield Hidden Effects'!$AJ$57</c:f>
              <c:numCache>
                <c:formatCode>0.00</c:formatCode>
                <c:ptCount val="1"/>
                <c:pt idx="0">
                  <c:v>81.116000000000014</c:v>
                </c:pt>
              </c:numCache>
            </c:numRef>
          </c:yVal>
          <c:smooth val="0"/>
        </c:ser>
        <c:dLbls>
          <c:showLegendKey val="0"/>
          <c:showVal val="0"/>
          <c:showCatName val="0"/>
          <c:showSerName val="0"/>
          <c:showPercent val="0"/>
          <c:showBubbleSize val="0"/>
        </c:dLbls>
        <c:axId val="132394368"/>
        <c:axId val="132394944"/>
      </c:scatterChart>
      <c:valAx>
        <c:axId val="132394368"/>
        <c:scaling>
          <c:orientation val="minMax"/>
          <c:max val="150"/>
          <c:min val="90"/>
        </c:scaling>
        <c:delete val="0"/>
        <c:axPos val="b"/>
        <c:title>
          <c:tx>
            <c:rich>
              <a:bodyPr/>
              <a:lstStyle/>
              <a:p>
                <a:pPr>
                  <a:defRPr/>
                </a:pPr>
                <a:r>
                  <a:rPr lang="de-DE"/>
                  <a:t>Temperature  A [°C]</a:t>
                </a:r>
              </a:p>
            </c:rich>
          </c:tx>
          <c:layout>
            <c:manualLayout>
              <c:xMode val="edge"/>
              <c:yMode val="edge"/>
              <c:x val="0.75398143524742411"/>
              <c:y val="0.8386176727909016"/>
            </c:manualLayout>
          </c:layout>
          <c:overlay val="0"/>
        </c:title>
        <c:numFmt formatCode="General" sourceLinked="1"/>
        <c:majorTickMark val="out"/>
        <c:minorTickMark val="out"/>
        <c:tickLblPos val="nextTo"/>
        <c:crossAx val="132394944"/>
        <c:crosses val="autoZero"/>
        <c:crossBetween val="midCat"/>
        <c:majorUnit val="10"/>
        <c:minorUnit val="10"/>
      </c:valAx>
      <c:valAx>
        <c:axId val="132394944"/>
        <c:scaling>
          <c:orientation val="minMax"/>
          <c:max val="82"/>
          <c:min val="70"/>
        </c:scaling>
        <c:delete val="0"/>
        <c:axPos val="l"/>
        <c:title>
          <c:tx>
            <c:rich>
              <a:bodyPr rot="0" vert="horz"/>
              <a:lstStyle/>
              <a:p>
                <a:pPr>
                  <a:defRPr/>
                </a:pPr>
                <a:r>
                  <a:rPr lang="de-DE"/>
                  <a:t>Yield y [%]</a:t>
                </a:r>
              </a:p>
            </c:rich>
          </c:tx>
          <c:layout>
            <c:manualLayout>
              <c:xMode val="edge"/>
              <c:yMode val="edge"/>
              <c:x val="4.3681747269890756E-2"/>
              <c:y val="2.4456942882139909E-2"/>
            </c:manualLayout>
          </c:layout>
          <c:overlay val="0"/>
        </c:title>
        <c:numFmt formatCode="#,##0" sourceLinked="0"/>
        <c:majorTickMark val="out"/>
        <c:minorTickMark val="none"/>
        <c:tickLblPos val="nextTo"/>
        <c:crossAx val="132394368"/>
        <c:crossesAt val="-2"/>
        <c:crossBetween val="midCat"/>
        <c:majorUnit val="2"/>
        <c:minorUnit val="2"/>
      </c:valAx>
    </c:plotArea>
    <c:legend>
      <c:legendPos val="r"/>
      <c:legendEntry>
        <c:idx val="2"/>
        <c:delete val="1"/>
      </c:legendEntry>
      <c:legendEntry>
        <c:idx val="3"/>
        <c:delete val="1"/>
      </c:legendEntry>
      <c:legendEntry>
        <c:idx val="4"/>
        <c:delete val="1"/>
      </c:legendEntry>
      <c:legendEntry>
        <c:idx val="5"/>
        <c:delete val="1"/>
      </c:legendEntry>
      <c:legendEntry>
        <c:idx val="6"/>
        <c:delete val="1"/>
      </c:legendEntry>
      <c:layout>
        <c:manualLayout>
          <c:xMode val="edge"/>
          <c:yMode val="edge"/>
          <c:x val="0.66399962570158311"/>
          <c:y val="0.60951040411572632"/>
          <c:w val="0.24308869999339378"/>
          <c:h val="0.13227124863611706"/>
        </c:manualLayout>
      </c:layout>
      <c:overlay val="0"/>
      <c:spPr>
        <a:solidFill>
          <a:schemeClr val="bg1"/>
        </a:solidFill>
        <a:ln>
          <a:solidFill>
            <a:schemeClr val="tx1"/>
          </a:solidFill>
        </a:ln>
      </c:spPr>
    </c:legend>
    <c:plotVisOnly val="1"/>
    <c:dispBlanksAs val="gap"/>
    <c:showDLblsOverMax val="0"/>
  </c:chart>
  <c:spPr>
    <a:noFill/>
    <a:ln>
      <a:solidFill>
        <a:schemeClr val="tx1"/>
      </a:solidFill>
    </a:ln>
  </c:spPr>
  <c:txPr>
    <a:bodyPr/>
    <a:lstStyle/>
    <a:p>
      <a:pPr>
        <a:defRPr sz="1200" b="1"/>
      </a:pPr>
      <a:endParaRPr lang="de-DE"/>
    </a:p>
  </c:txPr>
  <c:printSettings>
    <c:headerFooter/>
    <c:pageMargins b="0.78740157499999996" l="0.70000000000000062" r="0.70000000000000062" t="0.7874015749999999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Main effects A and B </a:t>
            </a:r>
          </a:p>
        </c:rich>
      </c:tx>
      <c:layout>
        <c:manualLayout>
          <c:xMode val="edge"/>
          <c:yMode val="edge"/>
          <c:x val="0.33832092677704617"/>
          <c:y val="2.5155538989578966E-2"/>
        </c:manualLayout>
      </c:layout>
      <c:overlay val="1"/>
      <c:spPr>
        <a:solidFill>
          <a:schemeClr val="bg1"/>
        </a:solidFill>
      </c:spPr>
    </c:title>
    <c:autoTitleDeleted val="0"/>
    <c:plotArea>
      <c:layout>
        <c:manualLayout>
          <c:layoutTarget val="inner"/>
          <c:xMode val="edge"/>
          <c:yMode val="edge"/>
          <c:x val="0.14895862654849443"/>
          <c:y val="0.13293963254593347"/>
          <c:w val="0.55485767177653522"/>
          <c:h val="0.68156641878098556"/>
        </c:manualLayout>
      </c:layout>
      <c:scatterChart>
        <c:scatterStyle val="lineMarker"/>
        <c:varyColors val="0"/>
        <c:ser>
          <c:idx val="0"/>
          <c:order val="0"/>
          <c:tx>
            <c:strRef>
              <c:f>'Yield Hidden Effects'!$AA$14:$AA$15</c:f>
              <c:strCache>
                <c:ptCount val="1"/>
                <c:pt idx="0">
                  <c:v>A Temperature</c:v>
                </c:pt>
              </c:strCache>
            </c:strRef>
          </c:tx>
          <c:spPr>
            <a:ln w="22225" cmpd="sng">
              <a:solidFill>
                <a:schemeClr val="tx1"/>
              </a:solidFill>
            </a:ln>
          </c:spPr>
          <c:marker>
            <c:symbol val="x"/>
            <c:size val="7"/>
            <c:spPr>
              <a:noFill/>
              <a:ln>
                <a:solidFill>
                  <a:schemeClr val="tx1"/>
                </a:solidFill>
              </a:ln>
            </c:spPr>
          </c:marker>
          <c:dLbls>
            <c:dLbl>
              <c:idx val="0"/>
              <c:layout>
                <c:manualLayout>
                  <c:x val="1.0148185482461318E-2"/>
                  <c:y val="3.9447731755424063E-2"/>
                </c:manualLayout>
              </c:layout>
              <c:showLegendKey val="0"/>
              <c:showVal val="1"/>
              <c:showCatName val="0"/>
              <c:showSerName val="0"/>
              <c:showPercent val="0"/>
              <c:showBubbleSize val="0"/>
            </c:dLbl>
            <c:dLbl>
              <c:idx val="1"/>
              <c:layout>
                <c:manualLayout>
                  <c:x val="-2.0296570732353393E-2"/>
                  <c:y val="-4.3392504930966469E-2"/>
                </c:manualLayout>
              </c:layout>
              <c:showLegendKey val="0"/>
              <c:showVal val="1"/>
              <c:showCatName val="0"/>
              <c:showSerName val="0"/>
              <c:showPercent val="0"/>
              <c:showBubbleSize val="0"/>
            </c:dLbl>
            <c:showLegendKey val="0"/>
            <c:showVal val="1"/>
            <c:showCatName val="0"/>
            <c:showSerName val="0"/>
            <c:showPercent val="0"/>
            <c:showBubbleSize val="0"/>
            <c:showLeaderLines val="0"/>
          </c:dLbls>
          <c:xVal>
            <c:numRef>
              <c:f>'Yield Hidden Effects'!$AC$16:$AC$17</c:f>
              <c:numCache>
                <c:formatCode>General</c:formatCode>
                <c:ptCount val="2"/>
                <c:pt idx="0">
                  <c:v>-1</c:v>
                </c:pt>
                <c:pt idx="1">
                  <c:v>1</c:v>
                </c:pt>
              </c:numCache>
            </c:numRef>
          </c:xVal>
          <c:yVal>
            <c:numRef>
              <c:f>'Yield Hidden Effects'!$AA$16:$AA$17</c:f>
              <c:numCache>
                <c:formatCode>0.00</c:formatCode>
                <c:ptCount val="2"/>
                <c:pt idx="0">
                  <c:v>77.13</c:v>
                </c:pt>
                <c:pt idx="1">
                  <c:v>78.56</c:v>
                </c:pt>
              </c:numCache>
            </c:numRef>
          </c:yVal>
          <c:smooth val="0"/>
        </c:ser>
        <c:ser>
          <c:idx val="1"/>
          <c:order val="1"/>
          <c:tx>
            <c:strRef>
              <c:f>'Yield Hidden Effects'!$AB$14:$AB$15</c:f>
              <c:strCache>
                <c:ptCount val="1"/>
                <c:pt idx="0">
                  <c:v>B Pressure</c:v>
                </c:pt>
              </c:strCache>
            </c:strRef>
          </c:tx>
          <c:spPr>
            <a:ln w="22225">
              <a:solidFill>
                <a:schemeClr val="tx1"/>
              </a:solidFill>
              <a:prstDash val="dash"/>
            </a:ln>
          </c:spPr>
          <c:marker>
            <c:symbol val="x"/>
            <c:size val="7"/>
            <c:spPr>
              <a:noFill/>
              <a:ln w="9525">
                <a:solidFill>
                  <a:schemeClr val="tx1"/>
                </a:solidFill>
              </a:ln>
            </c:spPr>
          </c:marker>
          <c:dLbls>
            <c:dLbl>
              <c:idx val="0"/>
              <c:layout>
                <c:manualLayout>
                  <c:x val="1.5222278223691977E-2"/>
                  <c:y val="-3.9447731755424063E-2"/>
                </c:manualLayout>
              </c:layout>
              <c:showLegendKey val="0"/>
              <c:showVal val="1"/>
              <c:showCatName val="0"/>
              <c:showSerName val="0"/>
              <c:showPercent val="0"/>
              <c:showBubbleSize val="0"/>
            </c:dLbl>
            <c:dLbl>
              <c:idx val="1"/>
              <c:layout>
                <c:manualLayout>
                  <c:x val="-1.7759324594307308E-2"/>
                  <c:y val="4.3392194318905328E-2"/>
                </c:manualLayout>
              </c:layout>
              <c:showLegendKey val="0"/>
              <c:showVal val="1"/>
              <c:showCatName val="0"/>
              <c:showSerName val="0"/>
              <c:showPercent val="0"/>
              <c:showBubbleSize val="0"/>
            </c:dLbl>
            <c:showLegendKey val="0"/>
            <c:showVal val="1"/>
            <c:showCatName val="0"/>
            <c:showSerName val="0"/>
            <c:showPercent val="0"/>
            <c:showBubbleSize val="0"/>
            <c:showLeaderLines val="0"/>
          </c:dLbls>
          <c:xVal>
            <c:numRef>
              <c:f>'Yield Hidden Effects'!$AC$16:$AC$17</c:f>
              <c:numCache>
                <c:formatCode>General</c:formatCode>
                <c:ptCount val="2"/>
                <c:pt idx="0">
                  <c:v>-1</c:v>
                </c:pt>
                <c:pt idx="1">
                  <c:v>1</c:v>
                </c:pt>
              </c:numCache>
            </c:numRef>
          </c:xVal>
          <c:yVal>
            <c:numRef>
              <c:f>'Yield Hidden Effects'!$AB$16:$AB$17</c:f>
              <c:numCache>
                <c:formatCode>0.00</c:formatCode>
                <c:ptCount val="2"/>
                <c:pt idx="0">
                  <c:v>78.550000000000011</c:v>
                </c:pt>
                <c:pt idx="1">
                  <c:v>77.14</c:v>
                </c:pt>
              </c:numCache>
            </c:numRef>
          </c:yVal>
          <c:smooth val="0"/>
        </c:ser>
        <c:dLbls>
          <c:showLegendKey val="0"/>
          <c:showVal val="0"/>
          <c:showCatName val="0"/>
          <c:showSerName val="0"/>
          <c:showPercent val="0"/>
          <c:showBubbleSize val="0"/>
        </c:dLbls>
        <c:axId val="132397248"/>
        <c:axId val="132397824"/>
      </c:scatterChart>
      <c:valAx>
        <c:axId val="132397248"/>
        <c:scaling>
          <c:orientation val="minMax"/>
          <c:max val="1.5"/>
          <c:min val="-1.5"/>
        </c:scaling>
        <c:delete val="1"/>
        <c:axPos val="b"/>
        <c:majorGridlines/>
        <c:numFmt formatCode="General" sourceLinked="1"/>
        <c:majorTickMark val="out"/>
        <c:minorTickMark val="out"/>
        <c:tickLblPos val="nextTo"/>
        <c:crossAx val="132397824"/>
        <c:crosses val="autoZero"/>
        <c:crossBetween val="midCat"/>
        <c:majorUnit val="0.5"/>
        <c:minorUnit val="0.5"/>
      </c:valAx>
      <c:valAx>
        <c:axId val="132397824"/>
        <c:scaling>
          <c:orientation val="minMax"/>
          <c:max val="80"/>
          <c:min val="74"/>
        </c:scaling>
        <c:delete val="0"/>
        <c:axPos val="l"/>
        <c:majorGridlines/>
        <c:title>
          <c:tx>
            <c:rich>
              <a:bodyPr rot="0" vert="horz"/>
              <a:lstStyle/>
              <a:p>
                <a:pPr>
                  <a:defRPr/>
                </a:pPr>
                <a:r>
                  <a:rPr lang="de-DE"/>
                  <a:t>Response y</a:t>
                </a:r>
              </a:p>
            </c:rich>
          </c:tx>
          <c:layout>
            <c:manualLayout>
              <c:xMode val="edge"/>
              <c:yMode val="edge"/>
              <c:x val="4.3681747269890756E-2"/>
              <c:y val="2.4456942882139922E-2"/>
            </c:manualLayout>
          </c:layout>
          <c:overlay val="0"/>
        </c:title>
        <c:numFmt formatCode="0" sourceLinked="0"/>
        <c:majorTickMark val="out"/>
        <c:minorTickMark val="none"/>
        <c:tickLblPos val="nextTo"/>
        <c:crossAx val="132397248"/>
        <c:crossesAt val="-2"/>
        <c:crossBetween val="midCat"/>
        <c:majorUnit val="1"/>
        <c:minorUnit val="1"/>
      </c:valAx>
    </c:plotArea>
    <c:legend>
      <c:legendPos val="r"/>
      <c:layout>
        <c:manualLayout>
          <c:xMode val="edge"/>
          <c:yMode val="edge"/>
          <c:x val="0.58973175416723733"/>
          <c:y val="0.55343148674463027"/>
          <c:w val="0.31214360241806488"/>
          <c:h val="0.22809082296665578"/>
        </c:manualLayout>
      </c:layout>
      <c:overlay val="0"/>
      <c:spPr>
        <a:solidFill>
          <a:schemeClr val="bg1"/>
        </a:solidFill>
        <a:ln>
          <a:solidFill>
            <a:schemeClr val="tx1"/>
          </a:solidFill>
        </a:ln>
      </c:spPr>
    </c:legend>
    <c:plotVisOnly val="1"/>
    <c:dispBlanksAs val="gap"/>
    <c:showDLblsOverMax val="0"/>
  </c:chart>
  <c:spPr>
    <a:ln>
      <a:solidFill>
        <a:schemeClr val="tx1"/>
      </a:solidFill>
    </a:ln>
  </c:spPr>
  <c:txPr>
    <a:bodyPr/>
    <a:lstStyle/>
    <a:p>
      <a:pPr>
        <a:defRPr sz="1200" b="1"/>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Interaction AB: y=f(A) with parameter B</a:t>
            </a:r>
            <a:endParaRPr lang="de-DE"/>
          </a:p>
        </c:rich>
      </c:tx>
      <c:layout>
        <c:manualLayout>
          <c:xMode val="edge"/>
          <c:yMode val="edge"/>
          <c:x val="0.29235772357723588"/>
          <c:y val="2.5132170978627692E-2"/>
        </c:manualLayout>
      </c:layout>
      <c:overlay val="1"/>
      <c:spPr>
        <a:solidFill>
          <a:schemeClr val="bg1"/>
        </a:solidFill>
      </c:spPr>
    </c:title>
    <c:autoTitleDeleted val="0"/>
    <c:plotArea>
      <c:layout>
        <c:manualLayout>
          <c:layoutTarget val="inner"/>
          <c:xMode val="edge"/>
          <c:yMode val="edge"/>
          <c:x val="0.16847081919638093"/>
          <c:y val="0.18055868016497961"/>
          <c:w val="0.55485767177653522"/>
          <c:h val="0.68156641878098556"/>
        </c:manualLayout>
      </c:layout>
      <c:scatterChart>
        <c:scatterStyle val="lineMarker"/>
        <c:varyColors val="0"/>
        <c:ser>
          <c:idx val="0"/>
          <c:order val="0"/>
          <c:tx>
            <c:strRef>
              <c:f>'Yield Hidden Effects'!$Z$42:$Z$43</c:f>
              <c:strCache>
                <c:ptCount val="1"/>
                <c:pt idx="0">
                  <c:v>Pressure  B high</c:v>
                </c:pt>
              </c:strCache>
            </c:strRef>
          </c:tx>
          <c:spPr>
            <a:ln w="22225" cmpd="sng">
              <a:solidFill>
                <a:schemeClr val="tx1"/>
              </a:solidFill>
            </a:ln>
          </c:spPr>
          <c:marker>
            <c:symbol val="x"/>
            <c:size val="7"/>
            <c:spPr>
              <a:noFill/>
              <a:ln>
                <a:solidFill>
                  <a:schemeClr val="tx1"/>
                </a:solidFill>
              </a:ln>
            </c:spPr>
          </c:marker>
          <c:dLbls>
            <c:showLegendKey val="0"/>
            <c:showVal val="1"/>
            <c:showCatName val="0"/>
            <c:showSerName val="0"/>
            <c:showPercent val="0"/>
            <c:showBubbleSize val="0"/>
            <c:showLeaderLines val="0"/>
          </c:dLbls>
          <c:xVal>
            <c:numRef>
              <c:f>'Yield Hidden Effects'!$AA$42:$AA$43</c:f>
              <c:numCache>
                <c:formatCode>General</c:formatCode>
                <c:ptCount val="2"/>
                <c:pt idx="0">
                  <c:v>-1</c:v>
                </c:pt>
                <c:pt idx="1">
                  <c:v>1</c:v>
                </c:pt>
              </c:numCache>
            </c:numRef>
          </c:xVal>
          <c:yVal>
            <c:numRef>
              <c:f>'Yield Hidden Effects'!$AC$42:$AC$43</c:f>
              <c:numCache>
                <c:formatCode>General</c:formatCode>
                <c:ptCount val="2"/>
                <c:pt idx="0">
                  <c:v>74.64</c:v>
                </c:pt>
                <c:pt idx="1">
                  <c:v>79.64</c:v>
                </c:pt>
              </c:numCache>
            </c:numRef>
          </c:yVal>
          <c:smooth val="0"/>
        </c:ser>
        <c:ser>
          <c:idx val="1"/>
          <c:order val="1"/>
          <c:tx>
            <c:strRef>
              <c:f>'Yield Hidden Effects'!$Z$40:$Z$41</c:f>
              <c:strCache>
                <c:ptCount val="1"/>
                <c:pt idx="0">
                  <c:v>Pressure  B low</c:v>
                </c:pt>
              </c:strCache>
            </c:strRef>
          </c:tx>
          <c:spPr>
            <a:ln w="22225">
              <a:solidFill>
                <a:schemeClr val="tx1"/>
              </a:solidFill>
              <a:prstDash val="dash"/>
            </a:ln>
          </c:spPr>
          <c:marker>
            <c:symbol val="x"/>
            <c:size val="7"/>
            <c:spPr>
              <a:noFill/>
              <a:ln>
                <a:solidFill>
                  <a:schemeClr val="tx1"/>
                </a:solidFill>
              </a:ln>
            </c:spPr>
          </c:marker>
          <c:dLbls>
            <c:dLbl>
              <c:idx val="0"/>
              <c:layout>
                <c:manualLayout>
                  <c:x val="4.7136967407941871E-3"/>
                  <c:y val="-1.1930584664407721E-2"/>
                </c:manualLayout>
              </c:layout>
              <c:showLegendKey val="0"/>
              <c:showVal val="1"/>
              <c:showCatName val="0"/>
              <c:showSerName val="0"/>
              <c:showPercent val="0"/>
              <c:showBubbleSize val="0"/>
            </c:dLbl>
            <c:showLegendKey val="0"/>
            <c:showVal val="1"/>
            <c:showCatName val="0"/>
            <c:showSerName val="0"/>
            <c:showPercent val="0"/>
            <c:showBubbleSize val="0"/>
            <c:showLeaderLines val="0"/>
          </c:dLbls>
          <c:xVal>
            <c:numRef>
              <c:f>'Yield Hidden Effects'!$AA$40:$AA$41</c:f>
              <c:numCache>
                <c:formatCode>General</c:formatCode>
                <c:ptCount val="2"/>
                <c:pt idx="0">
                  <c:v>-1</c:v>
                </c:pt>
                <c:pt idx="1">
                  <c:v>1</c:v>
                </c:pt>
              </c:numCache>
            </c:numRef>
          </c:xVal>
          <c:yVal>
            <c:numRef>
              <c:f>'Yield Hidden Effects'!$AC$40:$AC$41</c:f>
              <c:numCache>
                <c:formatCode>General</c:formatCode>
                <c:ptCount val="2"/>
                <c:pt idx="0">
                  <c:v>79.62</c:v>
                </c:pt>
                <c:pt idx="1">
                  <c:v>77.48</c:v>
                </c:pt>
              </c:numCache>
            </c:numRef>
          </c:yVal>
          <c:smooth val="0"/>
        </c:ser>
        <c:dLbls>
          <c:showLegendKey val="0"/>
          <c:showVal val="0"/>
          <c:showCatName val="0"/>
          <c:showSerName val="0"/>
          <c:showPercent val="0"/>
          <c:showBubbleSize val="0"/>
        </c:dLbls>
        <c:axId val="167789696"/>
        <c:axId val="167790272"/>
      </c:scatterChart>
      <c:valAx>
        <c:axId val="167789696"/>
        <c:scaling>
          <c:orientation val="minMax"/>
          <c:max val="1.5"/>
          <c:min val="-1.5"/>
        </c:scaling>
        <c:delete val="1"/>
        <c:axPos val="b"/>
        <c:majorGridlines/>
        <c:numFmt formatCode="General" sourceLinked="1"/>
        <c:majorTickMark val="out"/>
        <c:minorTickMark val="out"/>
        <c:tickLblPos val="nextTo"/>
        <c:crossAx val="167790272"/>
        <c:crosses val="autoZero"/>
        <c:crossBetween val="midCat"/>
        <c:majorUnit val="0.5"/>
        <c:minorUnit val="0.5"/>
      </c:valAx>
      <c:valAx>
        <c:axId val="167790272"/>
        <c:scaling>
          <c:orientation val="minMax"/>
          <c:max val="80"/>
          <c:min val="74"/>
        </c:scaling>
        <c:delete val="0"/>
        <c:axPos val="l"/>
        <c:majorGridlines/>
        <c:title>
          <c:tx>
            <c:rich>
              <a:bodyPr rot="0" vert="horz"/>
              <a:lstStyle/>
              <a:p>
                <a:pPr>
                  <a:defRPr/>
                </a:pPr>
                <a:r>
                  <a:rPr lang="en-US"/>
                  <a:t>Response y</a:t>
                </a:r>
              </a:p>
            </c:rich>
          </c:tx>
          <c:layout>
            <c:manualLayout>
              <c:xMode val="edge"/>
              <c:yMode val="edge"/>
              <c:x val="4.3681747269890756E-2"/>
              <c:y val="2.4456942882139922E-2"/>
            </c:manualLayout>
          </c:layout>
          <c:overlay val="0"/>
        </c:title>
        <c:numFmt formatCode="#,##0" sourceLinked="0"/>
        <c:majorTickMark val="out"/>
        <c:minorTickMark val="none"/>
        <c:tickLblPos val="nextTo"/>
        <c:crossAx val="167789696"/>
        <c:crossesAt val="-2"/>
        <c:crossBetween val="midCat"/>
        <c:majorUnit val="1"/>
        <c:minorUnit val="1"/>
      </c:valAx>
    </c:plotArea>
    <c:legend>
      <c:legendPos val="r"/>
      <c:layout>
        <c:manualLayout>
          <c:xMode val="edge"/>
          <c:yMode val="edge"/>
          <c:x val="0.67914644815739567"/>
          <c:y val="0.56146200474940566"/>
          <c:w val="0.26494798602667285"/>
          <c:h val="0.16927134108236466"/>
        </c:manualLayout>
      </c:layout>
      <c:overlay val="0"/>
      <c:spPr>
        <a:solidFill>
          <a:schemeClr val="bg1"/>
        </a:solidFill>
        <a:ln>
          <a:solidFill>
            <a:schemeClr val="tx1"/>
          </a:solidFill>
        </a:ln>
      </c:spPr>
    </c:legend>
    <c:plotVisOnly val="1"/>
    <c:dispBlanksAs val="gap"/>
    <c:showDLblsOverMax val="0"/>
  </c:chart>
  <c:spPr>
    <a:ln>
      <a:solidFill>
        <a:schemeClr val="tx1"/>
      </a:solidFill>
    </a:ln>
  </c:spPr>
  <c:txPr>
    <a:bodyPr/>
    <a:lstStyle/>
    <a:p>
      <a:pPr>
        <a:defRPr sz="1200" b="1"/>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1" i="0" baseline="0">
                <a:effectLst/>
              </a:rPr>
              <a:t>Interaction AB: y=f(A) with parameter B</a:t>
            </a:r>
            <a:endParaRPr lang="de-DE" sz="1400">
              <a:effectLst/>
            </a:endParaRPr>
          </a:p>
        </c:rich>
      </c:tx>
      <c:layout>
        <c:manualLayout>
          <c:xMode val="edge"/>
          <c:yMode val="edge"/>
          <c:x val="0.29235764316682938"/>
          <c:y val="2.1163917010373703E-2"/>
        </c:manualLayout>
      </c:layout>
      <c:overlay val="1"/>
      <c:spPr>
        <a:solidFill>
          <a:schemeClr val="bg1"/>
        </a:solidFill>
      </c:spPr>
    </c:title>
    <c:autoTitleDeleted val="0"/>
    <c:plotArea>
      <c:layout>
        <c:manualLayout>
          <c:layoutTarget val="inner"/>
          <c:xMode val="edge"/>
          <c:yMode val="edge"/>
          <c:x val="0.14895862654849426"/>
          <c:y val="0.1329396325459333"/>
          <c:w val="0.55485767177653522"/>
          <c:h val="0.68156641878098556"/>
        </c:manualLayout>
      </c:layout>
      <c:scatterChart>
        <c:scatterStyle val="lineMarker"/>
        <c:varyColors val="0"/>
        <c:ser>
          <c:idx val="0"/>
          <c:order val="0"/>
          <c:tx>
            <c:strRef>
              <c:f>'Surf Rough Turned Parts'!$AA$42:$AA$43</c:f>
              <c:strCache>
                <c:ptCount val="1"/>
                <c:pt idx="0">
                  <c:v>Feed  B high</c:v>
                </c:pt>
              </c:strCache>
            </c:strRef>
          </c:tx>
          <c:spPr>
            <a:ln w="22225" cmpd="sng">
              <a:solidFill>
                <a:schemeClr val="tx1"/>
              </a:solidFill>
            </a:ln>
          </c:spPr>
          <c:marker>
            <c:symbol val="x"/>
            <c:size val="7"/>
            <c:spPr>
              <a:noFill/>
              <a:ln>
                <a:solidFill>
                  <a:schemeClr val="tx1"/>
                </a:solidFill>
              </a:ln>
            </c:spPr>
          </c:marker>
          <c:dLbls>
            <c:dLbl>
              <c:idx val="0"/>
              <c:layout>
                <c:manualLayout>
                  <c:x val="-6.717828564112413E-2"/>
                  <c:y val="-5.5556180477440389E-2"/>
                </c:manualLayout>
              </c:layout>
              <c:showLegendKey val="0"/>
              <c:showVal val="1"/>
              <c:showCatName val="0"/>
              <c:showSerName val="0"/>
              <c:showPercent val="0"/>
              <c:showBubbleSize val="0"/>
            </c:dLbl>
            <c:numFmt formatCode="#,##0.0" sourceLinked="0"/>
            <c:showLegendKey val="0"/>
            <c:showVal val="1"/>
            <c:showCatName val="0"/>
            <c:showSerName val="0"/>
            <c:showPercent val="0"/>
            <c:showBubbleSize val="0"/>
            <c:showLeaderLines val="0"/>
          </c:dLbls>
          <c:xVal>
            <c:numRef>
              <c:f>'Surf Rough Turned Parts'!$AA$16:$AA$17</c:f>
              <c:numCache>
                <c:formatCode>General</c:formatCode>
                <c:ptCount val="2"/>
                <c:pt idx="0">
                  <c:v>-1</c:v>
                </c:pt>
                <c:pt idx="1">
                  <c:v>1</c:v>
                </c:pt>
              </c:numCache>
            </c:numRef>
          </c:xVal>
          <c:yVal>
            <c:numRef>
              <c:f>'Surf Rough Turned Parts'!$AD$42:$AD$43</c:f>
              <c:numCache>
                <c:formatCode>General</c:formatCode>
                <c:ptCount val="2"/>
                <c:pt idx="0" formatCode="#,#00">
                  <c:v>3</c:v>
                </c:pt>
                <c:pt idx="1">
                  <c:v>5.6</c:v>
                </c:pt>
              </c:numCache>
            </c:numRef>
          </c:yVal>
          <c:smooth val="0"/>
        </c:ser>
        <c:ser>
          <c:idx val="1"/>
          <c:order val="1"/>
          <c:tx>
            <c:strRef>
              <c:f>'Surf Rough Turned Parts'!$AA$40:$AA$41</c:f>
              <c:strCache>
                <c:ptCount val="1"/>
                <c:pt idx="0">
                  <c:v>Feed  B low</c:v>
                </c:pt>
              </c:strCache>
            </c:strRef>
          </c:tx>
          <c:spPr>
            <a:ln w="22225">
              <a:solidFill>
                <a:schemeClr val="tx1"/>
              </a:solidFill>
              <a:prstDash val="dash"/>
            </a:ln>
          </c:spPr>
          <c:marker>
            <c:symbol val="x"/>
            <c:size val="7"/>
            <c:spPr>
              <a:noFill/>
              <a:ln>
                <a:solidFill>
                  <a:schemeClr val="tx1"/>
                </a:solidFill>
              </a:ln>
            </c:spPr>
          </c:marker>
          <c:dLbls>
            <c:dLbl>
              <c:idx val="0"/>
              <c:layout>
                <c:manualLayout>
                  <c:x val="-6.5005484070588732E-2"/>
                  <c:y val="7.9365079365079361E-2"/>
                </c:manualLayout>
              </c:layout>
              <c:showLegendKey val="0"/>
              <c:showVal val="1"/>
              <c:showCatName val="0"/>
              <c:showSerName val="0"/>
              <c:showPercent val="0"/>
              <c:showBubbleSize val="0"/>
            </c:dLbl>
            <c:showLegendKey val="0"/>
            <c:showVal val="1"/>
            <c:showCatName val="0"/>
            <c:showSerName val="0"/>
            <c:showPercent val="0"/>
            <c:showBubbleSize val="0"/>
            <c:showLeaderLines val="0"/>
          </c:dLbls>
          <c:xVal>
            <c:numRef>
              <c:f>'Surf Rough Turned Parts'!$AA$16:$AA$17</c:f>
              <c:numCache>
                <c:formatCode>General</c:formatCode>
                <c:ptCount val="2"/>
                <c:pt idx="0">
                  <c:v>-1</c:v>
                </c:pt>
                <c:pt idx="1">
                  <c:v>1</c:v>
                </c:pt>
              </c:numCache>
            </c:numRef>
          </c:xVal>
          <c:yVal>
            <c:numRef>
              <c:f>'Surf Rough Turned Parts'!$AD$40:$AD$41</c:f>
              <c:numCache>
                <c:formatCode>General</c:formatCode>
                <c:ptCount val="2"/>
                <c:pt idx="0">
                  <c:v>2.8</c:v>
                </c:pt>
                <c:pt idx="1">
                  <c:v>3.5</c:v>
                </c:pt>
              </c:numCache>
            </c:numRef>
          </c:yVal>
          <c:smooth val="0"/>
        </c:ser>
        <c:dLbls>
          <c:showLegendKey val="0"/>
          <c:showVal val="0"/>
          <c:showCatName val="0"/>
          <c:showSerName val="0"/>
          <c:showPercent val="0"/>
          <c:showBubbleSize val="0"/>
        </c:dLbls>
        <c:axId val="167792576"/>
        <c:axId val="167793152"/>
      </c:scatterChart>
      <c:valAx>
        <c:axId val="167792576"/>
        <c:scaling>
          <c:orientation val="minMax"/>
          <c:max val="1.5"/>
          <c:min val="-1.5"/>
        </c:scaling>
        <c:delete val="1"/>
        <c:axPos val="b"/>
        <c:majorGridlines/>
        <c:numFmt formatCode="General" sourceLinked="1"/>
        <c:majorTickMark val="out"/>
        <c:minorTickMark val="out"/>
        <c:tickLblPos val="nextTo"/>
        <c:crossAx val="167793152"/>
        <c:crosses val="autoZero"/>
        <c:crossBetween val="midCat"/>
        <c:majorUnit val="0.5"/>
        <c:minorUnit val="0.5"/>
      </c:valAx>
      <c:valAx>
        <c:axId val="167793152"/>
        <c:scaling>
          <c:orientation val="minMax"/>
          <c:max val="6"/>
          <c:min val="2"/>
        </c:scaling>
        <c:delete val="0"/>
        <c:axPos val="l"/>
        <c:majorGridlines/>
        <c:title>
          <c:tx>
            <c:rich>
              <a:bodyPr rot="0" vert="horz"/>
              <a:lstStyle/>
              <a:p>
                <a:pPr>
                  <a:defRPr/>
                </a:pPr>
                <a:r>
                  <a:rPr lang="de-DE" sz="1200" b="1" i="0" u="none" strike="noStrike" baseline="0">
                    <a:effectLst/>
                  </a:rPr>
                  <a:t>Surface roughness </a:t>
                </a:r>
                <a:br>
                  <a:rPr lang="de-DE" sz="1200" b="1" i="0" u="none" strike="noStrike" baseline="0">
                    <a:effectLst/>
                  </a:rPr>
                </a:br>
                <a:r>
                  <a:rPr lang="de-DE"/>
                  <a:t> [µm]</a:t>
                </a:r>
              </a:p>
            </c:rich>
          </c:tx>
          <c:layout>
            <c:manualLayout>
              <c:xMode val="edge"/>
              <c:yMode val="edge"/>
              <c:x val="6.7529949000277395E-2"/>
              <c:y val="5.620297462817149E-2"/>
            </c:manualLayout>
          </c:layout>
          <c:overlay val="0"/>
          <c:spPr>
            <a:solidFill>
              <a:schemeClr val="bg1"/>
            </a:solidFill>
          </c:spPr>
        </c:title>
        <c:numFmt formatCode="#,##0" sourceLinked="0"/>
        <c:majorTickMark val="out"/>
        <c:minorTickMark val="none"/>
        <c:tickLblPos val="nextTo"/>
        <c:crossAx val="167792576"/>
        <c:crossesAt val="-2"/>
        <c:crossBetween val="midCat"/>
        <c:majorUnit val="1"/>
        <c:minorUnit val="1"/>
      </c:valAx>
    </c:plotArea>
    <c:legend>
      <c:legendPos val="r"/>
      <c:layout>
        <c:manualLayout>
          <c:xMode val="edge"/>
          <c:yMode val="edge"/>
          <c:x val="0.62060986279154351"/>
          <c:y val="0.27177946506686751"/>
          <c:w val="0.33915148411326712"/>
          <c:h val="0.1809180102487189"/>
        </c:manualLayout>
      </c:layout>
      <c:overlay val="0"/>
      <c:spPr>
        <a:solidFill>
          <a:schemeClr val="bg1"/>
        </a:solidFill>
        <a:ln>
          <a:solidFill>
            <a:schemeClr val="tx1"/>
          </a:solidFill>
        </a:ln>
      </c:spPr>
    </c:legend>
    <c:plotVisOnly val="1"/>
    <c:dispBlanksAs val="gap"/>
    <c:showDLblsOverMax val="0"/>
  </c:chart>
  <c:spPr>
    <a:ln>
      <a:noFill/>
    </a:ln>
  </c:spPr>
  <c:txPr>
    <a:bodyPr/>
    <a:lstStyle/>
    <a:p>
      <a:pPr>
        <a:defRPr sz="1200" b="1"/>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Main effects A and B</a:t>
            </a:r>
          </a:p>
        </c:rich>
      </c:tx>
      <c:layout>
        <c:manualLayout>
          <c:xMode val="edge"/>
          <c:yMode val="edge"/>
          <c:x val="0.32276215551129583"/>
          <c:y val="1.331536280921929E-2"/>
        </c:manualLayout>
      </c:layout>
      <c:overlay val="1"/>
      <c:spPr>
        <a:solidFill>
          <a:schemeClr val="bg1"/>
        </a:solidFill>
      </c:spPr>
    </c:title>
    <c:autoTitleDeleted val="0"/>
    <c:plotArea>
      <c:layout>
        <c:manualLayout>
          <c:layoutTarget val="inner"/>
          <c:xMode val="edge"/>
          <c:yMode val="edge"/>
          <c:x val="0.14895862654849432"/>
          <c:y val="0.13293963254593341"/>
          <c:w val="0.55485767177653522"/>
          <c:h val="0.68156641878098556"/>
        </c:manualLayout>
      </c:layout>
      <c:scatterChart>
        <c:scatterStyle val="lineMarker"/>
        <c:varyColors val="0"/>
        <c:ser>
          <c:idx val="0"/>
          <c:order val="0"/>
          <c:tx>
            <c:strRef>
              <c:f>'Surf Rough Turned Parts'!$AB$14:$AB$15</c:f>
              <c:strCache>
                <c:ptCount val="1"/>
                <c:pt idx="0">
                  <c:v>A Cutting depth</c:v>
                </c:pt>
              </c:strCache>
            </c:strRef>
          </c:tx>
          <c:spPr>
            <a:ln w="22225" cmpd="sng">
              <a:solidFill>
                <a:schemeClr val="tx1"/>
              </a:solidFill>
            </a:ln>
          </c:spPr>
          <c:marker>
            <c:symbol val="x"/>
            <c:size val="7"/>
            <c:spPr>
              <a:noFill/>
              <a:ln>
                <a:solidFill>
                  <a:schemeClr val="tx1"/>
                </a:solidFill>
              </a:ln>
            </c:spPr>
          </c:marker>
          <c:dLbls>
            <c:dLbl>
              <c:idx val="0"/>
              <c:layout>
                <c:manualLayout>
                  <c:x val="-3.5300606729178161E-2"/>
                  <c:y val="5.9171597633136092E-2"/>
                </c:manualLayout>
              </c:layout>
              <c:showLegendKey val="0"/>
              <c:showVal val="1"/>
              <c:showCatName val="0"/>
              <c:showSerName val="0"/>
              <c:showPercent val="0"/>
              <c:showBubbleSize val="0"/>
            </c:dLbl>
            <c:dLbl>
              <c:idx val="1"/>
              <c:layout>
                <c:manualLayout>
                  <c:x val="2.2062879205735539E-3"/>
                  <c:y val="-4.7337278106508909E-2"/>
                </c:manualLayout>
              </c:layout>
              <c:showLegendKey val="0"/>
              <c:showVal val="1"/>
              <c:showCatName val="0"/>
              <c:showSerName val="0"/>
              <c:showPercent val="0"/>
              <c:showBubbleSize val="0"/>
            </c:dLbl>
            <c:showLegendKey val="0"/>
            <c:showVal val="1"/>
            <c:showCatName val="0"/>
            <c:showSerName val="0"/>
            <c:showPercent val="0"/>
            <c:showBubbleSize val="0"/>
            <c:showLeaderLines val="0"/>
          </c:dLbls>
          <c:xVal>
            <c:numRef>
              <c:f>'Surf Rough Turned Parts'!$AA$16:$AA$17</c:f>
              <c:numCache>
                <c:formatCode>General</c:formatCode>
                <c:ptCount val="2"/>
                <c:pt idx="0">
                  <c:v>-1</c:v>
                </c:pt>
                <c:pt idx="1">
                  <c:v>1</c:v>
                </c:pt>
              </c:numCache>
            </c:numRef>
          </c:xVal>
          <c:yVal>
            <c:numRef>
              <c:f>'Surf Rough Turned Parts'!$AB$16:$AB$17</c:f>
              <c:numCache>
                <c:formatCode>0.00</c:formatCode>
                <c:ptCount val="2"/>
                <c:pt idx="0">
                  <c:v>2.9</c:v>
                </c:pt>
                <c:pt idx="1">
                  <c:v>4.55</c:v>
                </c:pt>
              </c:numCache>
            </c:numRef>
          </c:yVal>
          <c:smooth val="0"/>
        </c:ser>
        <c:ser>
          <c:idx val="1"/>
          <c:order val="1"/>
          <c:tx>
            <c:strRef>
              <c:f>'Surf Rough Turned Parts'!$AC$14:$AC$15</c:f>
              <c:strCache>
                <c:ptCount val="1"/>
                <c:pt idx="0">
                  <c:v>B Feed</c:v>
                </c:pt>
              </c:strCache>
            </c:strRef>
          </c:tx>
          <c:spPr>
            <a:ln w="22225">
              <a:solidFill>
                <a:schemeClr val="tx1"/>
              </a:solidFill>
              <a:prstDash val="dash"/>
            </a:ln>
          </c:spPr>
          <c:marker>
            <c:symbol val="x"/>
            <c:size val="7"/>
            <c:spPr>
              <a:noFill/>
              <a:ln>
                <a:solidFill>
                  <a:schemeClr val="tx1"/>
                </a:solidFill>
              </a:ln>
            </c:spPr>
          </c:marker>
          <c:dLbls>
            <c:dLbl>
              <c:idx val="0"/>
              <c:layout>
                <c:manualLayout>
                  <c:x val="-3.5300606729178161E-2"/>
                  <c:y val="-6.7061143984220986E-2"/>
                </c:manualLayout>
              </c:layout>
              <c:showLegendKey val="0"/>
              <c:showVal val="1"/>
              <c:showCatName val="0"/>
              <c:showSerName val="0"/>
              <c:showPercent val="0"/>
              <c:showBubbleSize val="0"/>
            </c:dLbl>
            <c:showLegendKey val="0"/>
            <c:showVal val="1"/>
            <c:showCatName val="0"/>
            <c:showSerName val="0"/>
            <c:showPercent val="0"/>
            <c:showBubbleSize val="0"/>
            <c:showLeaderLines val="0"/>
          </c:dLbls>
          <c:xVal>
            <c:numRef>
              <c:f>'Surf Rough Turned Parts'!$AA$16:$AA$17</c:f>
              <c:numCache>
                <c:formatCode>General</c:formatCode>
                <c:ptCount val="2"/>
                <c:pt idx="0">
                  <c:v>-1</c:v>
                </c:pt>
                <c:pt idx="1">
                  <c:v>1</c:v>
                </c:pt>
              </c:numCache>
            </c:numRef>
          </c:xVal>
          <c:yVal>
            <c:numRef>
              <c:f>'Surf Rough Turned Parts'!$AC$16:$AC$17</c:f>
              <c:numCache>
                <c:formatCode>0.00</c:formatCode>
                <c:ptCount val="2"/>
                <c:pt idx="0">
                  <c:v>3.15</c:v>
                </c:pt>
                <c:pt idx="1">
                  <c:v>4.3</c:v>
                </c:pt>
              </c:numCache>
            </c:numRef>
          </c:yVal>
          <c:smooth val="0"/>
        </c:ser>
        <c:dLbls>
          <c:showLegendKey val="0"/>
          <c:showVal val="0"/>
          <c:showCatName val="0"/>
          <c:showSerName val="0"/>
          <c:showPercent val="0"/>
          <c:showBubbleSize val="0"/>
        </c:dLbls>
        <c:axId val="167795456"/>
        <c:axId val="167796032"/>
      </c:scatterChart>
      <c:valAx>
        <c:axId val="167795456"/>
        <c:scaling>
          <c:orientation val="minMax"/>
          <c:max val="1.5"/>
          <c:min val="-1.5"/>
        </c:scaling>
        <c:delete val="1"/>
        <c:axPos val="b"/>
        <c:majorGridlines/>
        <c:numFmt formatCode="General" sourceLinked="1"/>
        <c:majorTickMark val="out"/>
        <c:minorTickMark val="out"/>
        <c:tickLblPos val="nextTo"/>
        <c:crossAx val="167796032"/>
        <c:crosses val="autoZero"/>
        <c:crossBetween val="midCat"/>
        <c:majorUnit val="0.5"/>
        <c:minorUnit val="0.5"/>
      </c:valAx>
      <c:valAx>
        <c:axId val="167796032"/>
        <c:scaling>
          <c:orientation val="minMax"/>
          <c:max val="6"/>
          <c:min val="2"/>
        </c:scaling>
        <c:delete val="0"/>
        <c:axPos val="l"/>
        <c:majorGridlines/>
        <c:title>
          <c:tx>
            <c:rich>
              <a:bodyPr rot="0" vert="horz"/>
              <a:lstStyle/>
              <a:p>
                <a:pPr>
                  <a:defRPr/>
                </a:pPr>
                <a:r>
                  <a:rPr lang="de-DE"/>
                  <a:t>Surface roughness [µm]</a:t>
                </a:r>
              </a:p>
            </c:rich>
          </c:tx>
          <c:layout>
            <c:manualLayout>
              <c:xMode val="edge"/>
              <c:yMode val="edge"/>
              <c:x val="3.1130790352305156E-2"/>
              <c:y val="2.4456922018408496E-2"/>
            </c:manualLayout>
          </c:layout>
          <c:overlay val="0"/>
          <c:spPr>
            <a:solidFill>
              <a:schemeClr val="bg1"/>
            </a:solidFill>
          </c:spPr>
        </c:title>
        <c:numFmt formatCode="0" sourceLinked="0"/>
        <c:majorTickMark val="out"/>
        <c:minorTickMark val="none"/>
        <c:tickLblPos val="nextTo"/>
        <c:crossAx val="167795456"/>
        <c:crossesAt val="-2"/>
        <c:crossBetween val="midCat"/>
        <c:majorUnit val="1"/>
        <c:minorUnit val="1"/>
      </c:valAx>
    </c:plotArea>
    <c:legend>
      <c:legendPos val="r"/>
      <c:layout>
        <c:manualLayout>
          <c:xMode val="edge"/>
          <c:yMode val="edge"/>
          <c:x val="0.55652746076384307"/>
          <c:y val="0.54158351103931746"/>
          <c:w val="0.30151220588200411"/>
          <c:h val="0.18471394982134101"/>
        </c:manualLayout>
      </c:layout>
      <c:overlay val="0"/>
      <c:spPr>
        <a:solidFill>
          <a:schemeClr val="bg1"/>
        </a:solidFill>
        <a:ln>
          <a:solidFill>
            <a:schemeClr val="tx1"/>
          </a:solidFill>
        </a:ln>
      </c:spPr>
    </c:legend>
    <c:plotVisOnly val="1"/>
    <c:dispBlanksAs val="gap"/>
    <c:showDLblsOverMax val="0"/>
  </c:chart>
  <c:spPr>
    <a:ln>
      <a:noFill/>
    </a:ln>
  </c:spPr>
  <c:txPr>
    <a:bodyPr/>
    <a:lstStyle/>
    <a:p>
      <a:pPr>
        <a:defRPr sz="1200" b="1"/>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190500</xdr:colOff>
      <xdr:row>2</xdr:row>
      <xdr:rowOff>104775</xdr:rowOff>
    </xdr:from>
    <xdr:to>
      <xdr:col>7</xdr:col>
      <xdr:colOff>638175</xdr:colOff>
      <xdr:row>22</xdr:row>
      <xdr:rowOff>9526</xdr:rowOff>
    </xdr:to>
    <xdr:sp macro="" textlink="">
      <xdr:nvSpPr>
        <xdr:cNvPr id="2" name="Textfeld 1"/>
        <xdr:cNvSpPr txBox="1"/>
      </xdr:nvSpPr>
      <xdr:spPr>
        <a:xfrm>
          <a:off x="190500" y="504825"/>
          <a:ext cx="5781675" cy="3714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de-DE" sz="1100"/>
            <a:t>Die Dateneingabe erfolgt in die gelb hinterlegten Felder.</a:t>
          </a:r>
        </a:p>
        <a:p>
          <a:endParaRPr lang="de-DE" sz="1100"/>
        </a:p>
        <a:p>
          <a:pPr>
            <a:spcAft>
              <a:spcPts val="600"/>
            </a:spcAft>
          </a:pPr>
          <a:r>
            <a:rPr lang="de-DE" sz="1100"/>
            <a:t>1. Faktornamen,  Niveauwerte  und  ggf. Maßeinheiten  eingeben</a:t>
          </a:r>
        </a:p>
        <a:p>
          <a:pPr>
            <a:spcAft>
              <a:spcPts val="600"/>
            </a:spcAft>
          </a:pPr>
          <a:r>
            <a:rPr lang="de-DE" sz="1100"/>
            <a:t>2. Versuchsergebnisse eingeben</a:t>
          </a:r>
        </a:p>
        <a:p>
          <a:pPr>
            <a:spcAft>
              <a:spcPts val="600"/>
            </a:spcAft>
          </a:pPr>
          <a:r>
            <a:rPr lang="de-DE" sz="1100"/>
            <a:t>3. Wirkungen, Wechselwirkungen und  Abweichungsquadrate werden berechnet</a:t>
          </a:r>
        </a:p>
        <a:p>
          <a:pPr>
            <a:spcAft>
              <a:spcPts val="600"/>
            </a:spcAft>
          </a:pPr>
          <a:r>
            <a:rPr lang="de-DE" sz="1100"/>
            <a:t>4. Grafiken werden erstellt: Main Effects Plots  und Interaction Plots (Achsen sind  manuell  zu </a:t>
          </a:r>
        </a:p>
        <a:p>
          <a:pPr>
            <a:spcAft>
              <a:spcPts val="600"/>
            </a:spcAft>
          </a:pPr>
          <a:r>
            <a:rPr lang="de-DE" sz="1100"/>
            <a:t>skalieren)</a:t>
          </a:r>
        </a:p>
        <a:p>
          <a:pPr>
            <a:spcAft>
              <a:spcPts val="600"/>
            </a:spcAft>
          </a:pPr>
          <a:r>
            <a:rPr lang="de-DE" sz="1100"/>
            <a:t>5. Schätzwert für die Versuchsstreuung eingeben: Damit die Signifikanz der Wirkungen berechnet werden kann, müssen  die  Summe der Abweichungsquadrate  und der zugehörige Freiheitsgrad eingegegben werden.</a:t>
          </a:r>
        </a:p>
        <a:p>
          <a:r>
            <a:rPr lang="de-DE" sz="1100"/>
            <a:t>Damit wird eine erste Varianzanalyse durchgeführt . Der  F-Test  entscheidet über die Signifikanz der Wirkungen.  Da in vielen Fällen die Wechselwirkungen nicht signifikant sind, kann eine zweite Varianzanalyse beispielsweise unter Hinzunahme der Wechselwirkung  zur besseren Schätzung der Versuchsstreuung erfolgen.  Die letzte Spalte der zweiten Varianzanalyse enthält die Werte 0 oder 1,  mit denen die Faktoren der Vorhersagegleichung aus- oder eingeschaltet werden.</a:t>
          </a:r>
        </a:p>
        <a:p>
          <a:endParaRPr lang="de-DE" sz="1100"/>
        </a:p>
        <a:p>
          <a:r>
            <a:rPr lang="de-DE" sz="1100"/>
            <a:t>6. Die Vorhersagefunktion liefert für beliebige einzugebende Faktorwerte die entsprechende Zielgröße auf Basis der signifikanten Wirkungen.</a:t>
          </a:r>
        </a:p>
        <a:p>
          <a:endParaRPr lang="de-DE" sz="1100"/>
        </a:p>
        <a:p>
          <a:endParaRPr lang="de-DE" sz="1100"/>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0.19816</cdr:x>
      <cdr:y>0.84177</cdr:y>
    </cdr:from>
    <cdr:to>
      <cdr:x>0.86866</cdr:x>
      <cdr:y>0.92932</cdr:y>
    </cdr:to>
    <cdr:sp macro="" textlink="">
      <cdr:nvSpPr>
        <cdr:cNvPr id="2" name="Textfeld 1"/>
        <cdr:cNvSpPr txBox="1"/>
      </cdr:nvSpPr>
      <cdr:spPr>
        <a:xfrm xmlns:a="http://schemas.openxmlformats.org/drawingml/2006/main">
          <a:off x="1160797" y="2694001"/>
          <a:ext cx="3927678" cy="28020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de-DE" sz="1200" b="1"/>
            <a:t>low		          high	          Level of A</a:t>
          </a:r>
        </a:p>
      </cdr:txBody>
    </cdr:sp>
  </cdr:relSizeAnchor>
</c:userShapes>
</file>

<file path=xl/drawings/drawing11.xml><?xml version="1.0" encoding="utf-8"?>
<c:userShapes xmlns:c="http://schemas.openxmlformats.org/drawingml/2006/chart">
  <cdr:relSizeAnchor xmlns:cdr="http://schemas.openxmlformats.org/drawingml/2006/chartDrawing">
    <cdr:from>
      <cdr:x>0.19416</cdr:x>
      <cdr:y>0.8427</cdr:y>
    </cdr:from>
    <cdr:to>
      <cdr:x>0.85983</cdr:x>
      <cdr:y>0.92978</cdr:y>
    </cdr:to>
    <cdr:sp macro="" textlink="">
      <cdr:nvSpPr>
        <cdr:cNvPr id="2" name="Textfeld 1"/>
        <cdr:cNvSpPr txBox="1"/>
      </cdr:nvSpPr>
      <cdr:spPr>
        <a:xfrm xmlns:a="http://schemas.openxmlformats.org/drawingml/2006/main">
          <a:off x="982332" y="2711692"/>
          <a:ext cx="3367845" cy="28020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de-DE" sz="1200" b="1"/>
            <a:t>low	                            high	Level</a:t>
          </a:r>
        </a:p>
      </cdr:txBody>
    </cdr:sp>
  </cdr:relSizeAnchor>
</c:userShapes>
</file>

<file path=xl/drawings/drawing2.xml><?xml version="1.0" encoding="utf-8"?>
<xdr:wsDr xmlns:xdr="http://schemas.openxmlformats.org/drawingml/2006/spreadsheetDrawing" xmlns:a="http://schemas.openxmlformats.org/drawingml/2006/main">
  <xdr:twoCellAnchor>
    <xdr:from>
      <xdr:col>28</xdr:col>
      <xdr:colOff>209550</xdr:colOff>
      <xdr:row>43</xdr:row>
      <xdr:rowOff>142875</xdr:rowOff>
    </xdr:from>
    <xdr:to>
      <xdr:col>33</xdr:col>
      <xdr:colOff>2200275</xdr:colOff>
      <xdr:row>60</xdr:row>
      <xdr:rowOff>104775</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104774</xdr:colOff>
      <xdr:row>17</xdr:row>
      <xdr:rowOff>85725</xdr:rowOff>
    </xdr:from>
    <xdr:to>
      <xdr:col>33</xdr:col>
      <xdr:colOff>1628775</xdr:colOff>
      <xdr:row>34</xdr:row>
      <xdr:rowOff>66675</xdr:rowOff>
    </xdr:to>
    <xdr:graphicFrame macro="">
      <xdr:nvGraphicFramePr>
        <xdr:cNvPr id="6" name="Diagramm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161926</xdr:colOff>
      <xdr:row>69</xdr:row>
      <xdr:rowOff>173648</xdr:rowOff>
    </xdr:from>
    <xdr:to>
      <xdr:col>33</xdr:col>
      <xdr:colOff>1923318</xdr:colOff>
      <xdr:row>87</xdr:row>
      <xdr:rowOff>21248</xdr:rowOff>
    </xdr:to>
    <xdr:graphicFrame macro="">
      <xdr:nvGraphicFramePr>
        <xdr:cNvPr id="5" name="Diagram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0.20817</cdr:x>
      <cdr:y>0.8373</cdr:y>
    </cdr:from>
    <cdr:to>
      <cdr:x>0.86986</cdr:x>
      <cdr:y>0.92486</cdr:y>
    </cdr:to>
    <cdr:sp macro="" textlink="">
      <cdr:nvSpPr>
        <cdr:cNvPr id="2" name="Textfeld 1"/>
        <cdr:cNvSpPr txBox="1"/>
      </cdr:nvSpPr>
      <cdr:spPr>
        <a:xfrm xmlns:a="http://schemas.openxmlformats.org/drawingml/2006/main">
          <a:off x="1255110" y="2679703"/>
          <a:ext cx="3989554" cy="28020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de-DE" sz="1200" b="1"/>
            <a:t>low		           high                Level of A</a:t>
          </a:r>
        </a:p>
      </cdr:txBody>
    </cdr:sp>
  </cdr:relSizeAnchor>
</c:userShapes>
</file>

<file path=xl/drawings/drawing4.xml><?xml version="1.0" encoding="utf-8"?>
<c:userShapes xmlns:c="http://schemas.openxmlformats.org/drawingml/2006/chart">
  <cdr:relSizeAnchor xmlns:cdr="http://schemas.openxmlformats.org/drawingml/2006/chartDrawing">
    <cdr:from>
      <cdr:x>0.20293</cdr:x>
      <cdr:y>0.82244</cdr:y>
    </cdr:from>
    <cdr:to>
      <cdr:x>0.94145</cdr:x>
      <cdr:y>0.93782</cdr:y>
    </cdr:to>
    <cdr:sp macro="" textlink="">
      <cdr:nvSpPr>
        <cdr:cNvPr id="2" name="Textfeld 1"/>
        <cdr:cNvSpPr txBox="1"/>
      </cdr:nvSpPr>
      <cdr:spPr>
        <a:xfrm xmlns:a="http://schemas.openxmlformats.org/drawingml/2006/main">
          <a:off x="1109498" y="2671290"/>
          <a:ext cx="4037748" cy="3747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1200" b="1"/>
            <a:t>low		            high	            Level</a:t>
          </a:r>
        </a:p>
      </cdr:txBody>
    </cdr:sp>
  </cdr:relSizeAnchor>
</c:userShapes>
</file>

<file path=xl/drawings/drawing5.xml><?xml version="1.0" encoding="utf-8"?>
<c:userShapes xmlns:c="http://schemas.openxmlformats.org/drawingml/2006/chart">
  <cdr:relSizeAnchor xmlns:cdr="http://schemas.openxmlformats.org/drawingml/2006/chartDrawing">
    <cdr:from>
      <cdr:x>0.19547</cdr:x>
      <cdr:y>0.82498</cdr:y>
    </cdr:from>
    <cdr:to>
      <cdr:x>0.84744</cdr:x>
      <cdr:y>0.9105</cdr:y>
    </cdr:to>
    <cdr:sp macro="" textlink="">
      <cdr:nvSpPr>
        <cdr:cNvPr id="2" name="Textfeld 1"/>
        <cdr:cNvSpPr txBox="1"/>
      </cdr:nvSpPr>
      <cdr:spPr>
        <a:xfrm xmlns:a="http://schemas.openxmlformats.org/drawingml/2006/main">
          <a:off x="1133724" y="2703129"/>
          <a:ext cx="3781420" cy="28020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de-DE" sz="1200" b="1"/>
            <a:t>low		         high 	      Level of B</a:t>
          </a:r>
        </a:p>
      </cdr:txBody>
    </cdr:sp>
  </cdr:relSizeAnchor>
</c:userShapes>
</file>

<file path=xl/drawings/drawing6.xml><?xml version="1.0" encoding="utf-8"?>
<xdr:wsDr xmlns:xdr="http://schemas.openxmlformats.org/drawingml/2006/spreadsheetDrawing" xmlns:a="http://schemas.openxmlformats.org/drawingml/2006/main">
  <xdr:twoCellAnchor>
    <xdr:from>
      <xdr:col>53</xdr:col>
      <xdr:colOff>13854</xdr:colOff>
      <xdr:row>43</xdr:row>
      <xdr:rowOff>23382</xdr:rowOff>
    </xdr:from>
    <xdr:to>
      <xdr:col>66</xdr:col>
      <xdr:colOff>3464</xdr:colOff>
      <xdr:row>63</xdr:row>
      <xdr:rowOff>46761</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44161</xdr:colOff>
      <xdr:row>18</xdr:row>
      <xdr:rowOff>72736</xdr:rowOff>
    </xdr:from>
    <xdr:to>
      <xdr:col>29</xdr:col>
      <xdr:colOff>2433204</xdr:colOff>
      <xdr:row>35</xdr:row>
      <xdr:rowOff>53686</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161925</xdr:colOff>
      <xdr:row>43</xdr:row>
      <xdr:rowOff>171450</xdr:rowOff>
    </xdr:from>
    <xdr:to>
      <xdr:col>29</xdr:col>
      <xdr:colOff>2433204</xdr:colOff>
      <xdr:row>60</xdr:row>
      <xdr:rowOff>57150</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0.19902</cdr:x>
      <cdr:y>0.83039</cdr:y>
    </cdr:from>
    <cdr:to>
      <cdr:x>0.81887</cdr:x>
      <cdr:y>0.91743</cdr:y>
    </cdr:to>
    <cdr:sp macro="" textlink="">
      <cdr:nvSpPr>
        <cdr:cNvPr id="2" name="Textfeld 1"/>
        <cdr:cNvSpPr txBox="1"/>
      </cdr:nvSpPr>
      <cdr:spPr>
        <a:xfrm xmlns:a="http://schemas.openxmlformats.org/drawingml/2006/main">
          <a:off x="1121889" y="2673399"/>
          <a:ext cx="3494162" cy="28020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de-DE" sz="1200" b="1"/>
            <a:t>low		         high	      Level</a:t>
          </a:r>
        </a:p>
      </cdr:txBody>
    </cdr:sp>
  </cdr:relSizeAnchor>
</c:userShapes>
</file>

<file path=xl/drawings/drawing8.xml><?xml version="1.0" encoding="utf-8"?>
<c:userShapes xmlns:c="http://schemas.openxmlformats.org/drawingml/2006/chart">
  <cdr:relSizeAnchor xmlns:cdr="http://schemas.openxmlformats.org/drawingml/2006/chartDrawing">
    <cdr:from>
      <cdr:x>0.22679</cdr:x>
      <cdr:y>0.87003</cdr:y>
    </cdr:from>
    <cdr:to>
      <cdr:x>0.87484</cdr:x>
      <cdr:y>0.95758</cdr:y>
    </cdr:to>
    <cdr:sp macro="" textlink="">
      <cdr:nvSpPr>
        <cdr:cNvPr id="2" name="Textfeld 1"/>
        <cdr:cNvSpPr txBox="1"/>
      </cdr:nvSpPr>
      <cdr:spPr>
        <a:xfrm xmlns:a="http://schemas.openxmlformats.org/drawingml/2006/main">
          <a:off x="1301401" y="2784444"/>
          <a:ext cx="3718775" cy="28020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de-DE" sz="1200" b="1"/>
            <a:t>low		       high	     Level of A</a:t>
          </a:r>
        </a:p>
      </cdr:txBody>
    </cdr:sp>
  </cdr:relSizeAnchor>
</c:userShapes>
</file>

<file path=xl/drawings/drawing9.xml><?xml version="1.0" encoding="utf-8"?>
<xdr:wsDr xmlns:xdr="http://schemas.openxmlformats.org/drawingml/2006/spreadsheetDrawing" xmlns:a="http://schemas.openxmlformats.org/drawingml/2006/main">
  <xdr:twoCellAnchor>
    <xdr:from>
      <xdr:col>25</xdr:col>
      <xdr:colOff>190500</xdr:colOff>
      <xdr:row>44</xdr:row>
      <xdr:rowOff>66675</xdr:rowOff>
    </xdr:from>
    <xdr:to>
      <xdr:col>30</xdr:col>
      <xdr:colOff>2181225</xdr:colOff>
      <xdr:row>61</xdr:row>
      <xdr:rowOff>28575</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190499</xdr:colOff>
      <xdr:row>17</xdr:row>
      <xdr:rowOff>153988</xdr:rowOff>
    </xdr:from>
    <xdr:to>
      <xdr:col>30</xdr:col>
      <xdr:colOff>1382713</xdr:colOff>
      <xdr:row>34</xdr:row>
      <xdr:rowOff>133350</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23"/>
  <sheetViews>
    <sheetView tabSelected="1" workbookViewId="0"/>
  </sheetViews>
  <sheetFormatPr baseColWidth="10" defaultRowHeight="15"/>
  <cols>
    <col min="8" max="8" width="12.85546875" customWidth="1"/>
  </cols>
  <sheetData>
    <row r="1" spans="1:10" ht="15.75">
      <c r="A1" s="133"/>
      <c r="B1" s="133" t="s">
        <v>83</v>
      </c>
      <c r="C1" s="133"/>
      <c r="D1" s="133"/>
      <c r="E1" s="133"/>
      <c r="F1" s="133"/>
      <c r="G1" s="133"/>
      <c r="H1" s="133"/>
    </row>
    <row r="2" spans="1:10" ht="15.75">
      <c r="A2" s="133"/>
      <c r="B2" s="133" t="s">
        <v>82</v>
      </c>
      <c r="C2" s="133"/>
      <c r="D2" s="133"/>
      <c r="E2" s="133"/>
      <c r="F2" s="133"/>
      <c r="G2" s="133"/>
      <c r="H2" s="133"/>
    </row>
    <row r="3" spans="1:10">
      <c r="A3" s="132"/>
      <c r="B3" s="132"/>
      <c r="C3" s="132"/>
      <c r="D3" s="132"/>
      <c r="E3" s="132"/>
      <c r="F3" s="132"/>
      <c r="G3" s="132"/>
      <c r="H3" s="132"/>
      <c r="J3" s="139"/>
    </row>
    <row r="4" spans="1:10">
      <c r="A4" s="132"/>
      <c r="B4" s="132"/>
      <c r="C4" s="132"/>
      <c r="D4" s="132"/>
      <c r="E4" s="132"/>
      <c r="F4" s="132"/>
      <c r="G4" s="132"/>
      <c r="H4" s="132"/>
      <c r="J4" s="139"/>
    </row>
    <row r="5" spans="1:10">
      <c r="A5" s="132"/>
      <c r="B5" s="132"/>
      <c r="C5" s="132"/>
      <c r="D5" s="132"/>
      <c r="E5" s="132"/>
      <c r="F5" s="132"/>
      <c r="G5" s="132"/>
      <c r="H5" s="132"/>
      <c r="J5" s="139"/>
    </row>
    <row r="6" spans="1:10">
      <c r="A6" s="132"/>
      <c r="B6" s="132"/>
      <c r="C6" s="132"/>
      <c r="D6" s="132"/>
      <c r="E6" s="132"/>
      <c r="F6" s="132"/>
      <c r="G6" s="132"/>
      <c r="H6" s="132"/>
      <c r="J6" s="139"/>
    </row>
    <row r="7" spans="1:10">
      <c r="A7" s="132"/>
      <c r="B7" s="132"/>
      <c r="C7" s="132"/>
      <c r="D7" s="132"/>
      <c r="E7" s="132"/>
      <c r="F7" s="132"/>
      <c r="G7" s="132"/>
      <c r="H7" s="132"/>
      <c r="J7" s="139"/>
    </row>
    <row r="8" spans="1:10">
      <c r="A8" s="132"/>
      <c r="B8" s="132"/>
      <c r="C8" s="132"/>
      <c r="D8" s="132"/>
      <c r="E8" s="132"/>
      <c r="F8" s="132"/>
      <c r="G8" s="132"/>
      <c r="H8" s="132"/>
      <c r="J8" s="139"/>
    </row>
    <row r="9" spans="1:10">
      <c r="A9" s="132"/>
      <c r="B9" s="132"/>
      <c r="C9" s="132"/>
      <c r="D9" s="132"/>
      <c r="E9" s="132"/>
      <c r="F9" s="132"/>
      <c r="G9" s="132"/>
      <c r="H9" s="132"/>
      <c r="J9" s="139"/>
    </row>
    <row r="10" spans="1:10">
      <c r="A10" s="132"/>
      <c r="B10" s="132"/>
      <c r="C10" s="132"/>
      <c r="D10" s="132"/>
      <c r="E10" s="132"/>
      <c r="F10" s="132"/>
      <c r="G10" s="132"/>
      <c r="H10" s="132"/>
      <c r="J10" s="138"/>
    </row>
    <row r="11" spans="1:10">
      <c r="A11" s="132"/>
      <c r="B11" s="132"/>
      <c r="C11" s="132"/>
      <c r="D11" s="132"/>
      <c r="E11" s="132"/>
      <c r="F11" s="132"/>
      <c r="G11" s="132"/>
      <c r="H11" s="132"/>
      <c r="J11" s="139"/>
    </row>
    <row r="12" spans="1:10">
      <c r="A12" s="132"/>
      <c r="B12" s="132"/>
      <c r="C12" s="132"/>
      <c r="D12" s="132"/>
      <c r="E12" s="132"/>
      <c r="F12" s="132"/>
      <c r="G12" s="132"/>
      <c r="H12" s="132"/>
      <c r="J12" s="139"/>
    </row>
    <row r="13" spans="1:10">
      <c r="A13" s="132"/>
      <c r="B13" s="132"/>
      <c r="C13" s="132"/>
      <c r="D13" s="132"/>
      <c r="E13" s="132"/>
      <c r="F13" s="132"/>
      <c r="G13" s="132"/>
      <c r="H13" s="132"/>
      <c r="J13" s="139"/>
    </row>
    <row r="14" spans="1:10">
      <c r="A14" s="132"/>
      <c r="B14" s="132"/>
      <c r="C14" s="132"/>
      <c r="D14" s="132"/>
      <c r="E14" s="132"/>
      <c r="F14" s="132"/>
      <c r="G14" s="132"/>
      <c r="H14" s="132"/>
    </row>
    <row r="15" spans="1:10">
      <c r="A15" s="132"/>
      <c r="B15" s="132"/>
      <c r="C15" s="132"/>
      <c r="D15" s="132"/>
      <c r="E15" s="132"/>
      <c r="F15" s="132"/>
      <c r="G15" s="132"/>
      <c r="H15" s="132"/>
    </row>
    <row r="16" spans="1:10">
      <c r="A16" s="132"/>
      <c r="B16" s="132"/>
      <c r="C16" s="132"/>
      <c r="D16" s="132"/>
      <c r="E16" s="132"/>
      <c r="F16" s="132"/>
      <c r="G16" s="132"/>
      <c r="H16" s="132"/>
    </row>
    <row r="17" spans="1:8">
      <c r="A17" s="132"/>
      <c r="B17" s="132"/>
      <c r="C17" s="132"/>
      <c r="D17" s="132"/>
      <c r="E17" s="132"/>
      <c r="F17" s="132"/>
      <c r="G17" s="132"/>
      <c r="H17" s="132"/>
    </row>
    <row r="18" spans="1:8">
      <c r="A18" s="132"/>
      <c r="B18" s="132"/>
      <c r="C18" s="132"/>
      <c r="D18" s="132"/>
      <c r="E18" s="132"/>
      <c r="F18" s="132"/>
      <c r="G18" s="132"/>
      <c r="H18" s="132"/>
    </row>
    <row r="19" spans="1:8">
      <c r="A19" s="132"/>
      <c r="B19" s="132"/>
      <c r="C19" s="132"/>
      <c r="D19" s="132"/>
      <c r="E19" s="132"/>
      <c r="F19" s="132"/>
      <c r="G19" s="132"/>
      <c r="H19" s="132"/>
    </row>
    <row r="20" spans="1:8">
      <c r="A20" s="132"/>
      <c r="B20" s="132"/>
      <c r="C20" s="132"/>
      <c r="D20" s="132"/>
      <c r="E20" s="132"/>
      <c r="F20" s="132"/>
      <c r="G20" s="132"/>
      <c r="H20" s="132"/>
    </row>
    <row r="21" spans="1:8">
      <c r="A21" s="132"/>
      <c r="B21" s="132"/>
      <c r="C21" s="132"/>
      <c r="D21" s="132"/>
      <c r="E21" s="132"/>
      <c r="F21" s="132"/>
      <c r="G21" s="132"/>
      <c r="H21" s="132"/>
    </row>
    <row r="22" spans="1:8">
      <c r="A22" s="132"/>
      <c r="B22" s="132"/>
      <c r="C22" s="132"/>
      <c r="D22" s="132"/>
      <c r="E22" s="132"/>
      <c r="F22" s="132"/>
      <c r="G22" s="132"/>
      <c r="H22" s="132"/>
    </row>
    <row r="23" spans="1:8">
      <c r="A23" s="132"/>
      <c r="B23" s="132"/>
      <c r="C23" s="132"/>
      <c r="D23" s="132"/>
      <c r="E23" s="132"/>
      <c r="F23" s="132"/>
      <c r="G23" s="132"/>
      <c r="H23" s="132"/>
    </row>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CE90"/>
  <sheetViews>
    <sheetView zoomScaleNormal="100" workbookViewId="0"/>
  </sheetViews>
  <sheetFormatPr baseColWidth="10" defaultRowHeight="15"/>
  <cols>
    <col min="1" max="1" width="3.42578125" customWidth="1"/>
    <col min="2" max="2" width="3.7109375" customWidth="1"/>
    <col min="3" max="3" width="30.42578125" customWidth="1"/>
    <col min="4" max="4" width="19.42578125" customWidth="1"/>
    <col min="5" max="5" width="15.140625" customWidth="1"/>
    <col min="8" max="8" width="5.28515625" customWidth="1"/>
    <col min="9" max="9" width="2.7109375" customWidth="1"/>
    <col min="10" max="10" width="2.28515625" customWidth="1"/>
    <col min="11" max="11" width="6.7109375" customWidth="1"/>
    <col min="12" max="12" width="13.28515625" customWidth="1"/>
    <col min="13" max="13" width="6.42578125" customWidth="1"/>
    <col min="14" max="14" width="10.140625" customWidth="1"/>
    <col min="15" max="15" width="4.7109375" customWidth="1"/>
    <col min="16" max="16" width="9.140625" customWidth="1"/>
    <col min="17" max="18" width="2.42578125" customWidth="1"/>
    <col min="19" max="19" width="3" customWidth="1"/>
    <col min="20" max="20" width="8.7109375" customWidth="1"/>
    <col min="21" max="21" width="9.140625" customWidth="1"/>
    <col min="22" max="22" width="7.42578125" customWidth="1"/>
    <col min="23" max="24" width="6.7109375" style="19" customWidth="1"/>
    <col min="25" max="25" width="6.28515625" style="19" customWidth="1"/>
    <col min="26" max="26" width="10.28515625" customWidth="1"/>
    <col min="27" max="28" width="2.42578125" customWidth="1"/>
    <col min="29" max="29" width="3.28515625" customWidth="1"/>
    <col min="30" max="30" width="14.85546875" customWidth="1"/>
    <col min="31" max="31" width="14.42578125" customWidth="1"/>
    <col min="32" max="32" width="14.5703125" customWidth="1"/>
    <col min="33" max="33" width="13.42578125" customWidth="1"/>
    <col min="34" max="34" width="33.7109375" customWidth="1"/>
    <col min="35" max="35" width="2.7109375" customWidth="1"/>
    <col min="36" max="36" width="2.42578125" customWidth="1"/>
    <col min="37" max="37" width="2.7109375" customWidth="1"/>
    <col min="38" max="38" width="8.5703125" customWidth="1"/>
    <col min="39" max="39" width="16.42578125" bestFit="1" customWidth="1"/>
    <col min="40" max="40" width="6.7109375" customWidth="1"/>
    <col min="41" max="41" width="9.42578125" customWidth="1"/>
    <col min="42" max="42" width="10.140625" customWidth="1"/>
    <col min="43" max="43" width="16.85546875" customWidth="1"/>
    <col min="44" max="44" width="8.7109375" customWidth="1"/>
    <col min="45" max="45" width="3.42578125" customWidth="1"/>
    <col min="46" max="46" width="4.140625" customWidth="1"/>
    <col min="47" max="47" width="3.85546875" customWidth="1"/>
    <col min="48" max="48" width="6.42578125" customWidth="1"/>
    <col min="49" max="49" width="12" customWidth="1"/>
    <col min="50" max="50" width="7.5703125" customWidth="1"/>
    <col min="51" max="51" width="8.42578125" customWidth="1"/>
    <col min="52" max="52" width="7.7109375" customWidth="1"/>
    <col min="53" max="53" width="5.42578125" customWidth="1"/>
    <col min="54" max="54" width="3.7109375" customWidth="1"/>
    <col min="55" max="55" width="4.28515625" customWidth="1"/>
    <col min="56" max="56" width="2.5703125" customWidth="1"/>
    <col min="57" max="57" width="4.140625" customWidth="1"/>
    <col min="58" max="58" width="2.42578125" customWidth="1"/>
    <col min="59" max="59" width="4.140625" customWidth="1"/>
    <col min="60" max="60" width="2.28515625" customWidth="1"/>
    <col min="61" max="61" width="4" customWidth="1"/>
    <col min="62" max="62" width="8.7109375" customWidth="1"/>
    <col min="63" max="63" width="3.42578125" customWidth="1"/>
    <col min="64" max="64" width="8.7109375" customWidth="1"/>
    <col min="65" max="65" width="4.28515625" customWidth="1"/>
    <col min="66" max="66" width="8.7109375" customWidth="1"/>
    <col min="67" max="67" width="3.42578125" customWidth="1"/>
    <col min="68" max="68" width="8.7109375" customWidth="1"/>
    <col min="69" max="69" width="3.28515625" customWidth="1"/>
    <col min="70" max="70" width="11" customWidth="1"/>
    <col min="71" max="71" width="8.28515625" customWidth="1"/>
    <col min="83" max="83" width="4.28515625" customWidth="1"/>
  </cols>
  <sheetData>
    <row r="1" spans="1:83" ht="15.75">
      <c r="A1" s="70"/>
      <c r="B1" s="70"/>
      <c r="C1" s="72" t="s">
        <v>106</v>
      </c>
      <c r="D1" s="70"/>
      <c r="E1" s="70"/>
      <c r="F1" s="70"/>
      <c r="G1" s="70"/>
      <c r="H1" s="70"/>
      <c r="I1" s="33"/>
      <c r="J1" s="70"/>
      <c r="K1" s="72" t="s">
        <v>98</v>
      </c>
      <c r="L1" s="70"/>
      <c r="M1" s="70"/>
      <c r="N1" s="70"/>
      <c r="O1" s="70"/>
      <c r="P1" s="70"/>
      <c r="Q1" s="70"/>
      <c r="R1" s="33"/>
      <c r="S1" s="71"/>
      <c r="T1" s="133" t="s">
        <v>107</v>
      </c>
      <c r="U1" s="71"/>
      <c r="V1" s="71"/>
      <c r="W1" s="71"/>
      <c r="X1" s="71"/>
      <c r="Y1" s="71"/>
      <c r="Z1" s="71"/>
      <c r="AA1" s="71"/>
      <c r="AB1" s="33"/>
      <c r="AC1" s="71"/>
      <c r="AD1" s="133" t="s">
        <v>99</v>
      </c>
      <c r="AE1" s="71"/>
      <c r="AF1" s="71"/>
      <c r="AG1" s="71"/>
      <c r="AH1" s="71"/>
      <c r="AI1" s="71"/>
      <c r="AJ1" s="128"/>
      <c r="AK1" s="71"/>
      <c r="AL1" s="133" t="s">
        <v>109</v>
      </c>
      <c r="AM1" s="72"/>
      <c r="AN1" s="72"/>
      <c r="AO1" s="72"/>
      <c r="AP1" s="72"/>
      <c r="AQ1" s="72"/>
      <c r="AR1" s="72"/>
      <c r="AS1" s="72"/>
      <c r="AT1" s="128"/>
      <c r="AU1" s="133"/>
      <c r="AV1" s="133" t="s">
        <v>108</v>
      </c>
      <c r="AW1" s="72"/>
      <c r="AX1" s="133"/>
      <c r="AY1" s="72"/>
      <c r="AZ1" s="72"/>
      <c r="BA1" s="72"/>
      <c r="BB1" s="72"/>
      <c r="BC1" s="72"/>
      <c r="BD1" s="72"/>
      <c r="BE1" s="72"/>
      <c r="BF1" s="72"/>
      <c r="BG1" s="72"/>
      <c r="BH1" s="72"/>
      <c r="BI1" s="72"/>
      <c r="BJ1" s="72"/>
      <c r="BK1" s="72"/>
      <c r="BL1" s="72"/>
      <c r="BM1" s="72"/>
      <c r="BN1" s="72"/>
      <c r="BO1" s="72"/>
      <c r="BP1" s="72"/>
      <c r="BQ1" s="72"/>
      <c r="BR1" s="72"/>
      <c r="BS1" s="72"/>
    </row>
    <row r="2" spans="1:83" ht="15.75">
      <c r="A2" s="20"/>
      <c r="B2" s="20"/>
      <c r="C2" s="20"/>
      <c r="D2" s="20"/>
      <c r="E2" s="20"/>
      <c r="F2" s="20"/>
      <c r="G2" s="20"/>
      <c r="H2" s="20"/>
      <c r="I2" s="33"/>
      <c r="J2" s="132"/>
      <c r="K2" s="20"/>
      <c r="L2" s="20"/>
      <c r="M2" s="20"/>
      <c r="N2" s="20"/>
      <c r="O2" s="20"/>
      <c r="P2" s="20"/>
      <c r="Q2" s="20"/>
      <c r="R2" s="33"/>
      <c r="S2" s="20"/>
      <c r="T2" s="20"/>
      <c r="U2" s="20"/>
      <c r="V2" s="20"/>
      <c r="W2" s="20"/>
      <c r="X2" s="20"/>
      <c r="Y2" s="20"/>
      <c r="Z2" s="20"/>
      <c r="AA2" s="20"/>
      <c r="AB2" s="33"/>
      <c r="AC2" s="20"/>
      <c r="AD2" s="20"/>
      <c r="AE2" s="20"/>
      <c r="AF2" s="20"/>
      <c r="AG2" s="20"/>
      <c r="AH2" s="20"/>
      <c r="AI2" s="20"/>
      <c r="AJ2" s="128"/>
      <c r="AK2" s="132"/>
      <c r="AL2" s="20"/>
      <c r="AM2" s="20"/>
      <c r="AN2" s="20"/>
      <c r="AO2" s="20"/>
      <c r="AP2" s="20"/>
      <c r="AQ2" s="20"/>
      <c r="AR2" s="20"/>
      <c r="AS2" s="20"/>
      <c r="AT2" s="33"/>
      <c r="AU2" s="132"/>
      <c r="AV2" s="20"/>
      <c r="AW2" s="20"/>
      <c r="AX2" s="20"/>
      <c r="AY2" s="20"/>
      <c r="AZ2" s="20"/>
      <c r="BA2" s="20"/>
      <c r="BB2" s="20"/>
      <c r="BC2" s="20"/>
      <c r="BD2" s="20"/>
      <c r="BE2" s="20"/>
      <c r="BF2" s="20"/>
      <c r="BG2" s="20"/>
      <c r="BH2" s="20"/>
      <c r="BI2" s="20"/>
      <c r="BJ2" s="20"/>
      <c r="BK2" s="20"/>
      <c r="BL2" s="20"/>
      <c r="BM2" s="20"/>
      <c r="BN2" s="20"/>
      <c r="BO2" s="20"/>
      <c r="BP2" s="20"/>
      <c r="BQ2" s="20"/>
      <c r="BR2" s="20"/>
      <c r="BS2" s="20"/>
    </row>
    <row r="3" spans="1:83" ht="18" customHeight="1">
      <c r="A3" s="20"/>
      <c r="B3" s="20"/>
      <c r="C3" s="134" t="s">
        <v>67</v>
      </c>
      <c r="D3" s="135" t="s">
        <v>90</v>
      </c>
      <c r="E3" s="123" t="s">
        <v>84</v>
      </c>
      <c r="F3" s="173" t="s">
        <v>93</v>
      </c>
      <c r="G3" s="174"/>
      <c r="H3" s="20"/>
      <c r="I3" s="33"/>
      <c r="J3" s="132"/>
      <c r="K3" s="175" t="s">
        <v>94</v>
      </c>
      <c r="L3" s="176"/>
      <c r="M3" s="170" t="str">
        <f>D3</f>
        <v xml:space="preserve">Product quantity </v>
      </c>
      <c r="N3" s="170"/>
      <c r="O3" s="171" t="str">
        <f>E3</f>
        <v>[kg/h]</v>
      </c>
      <c r="P3" s="172"/>
      <c r="Q3" s="20"/>
      <c r="R3" s="66"/>
      <c r="S3" s="20"/>
      <c r="T3" s="177" t="s">
        <v>70</v>
      </c>
      <c r="U3" s="179" t="s">
        <v>95</v>
      </c>
      <c r="V3" s="180"/>
      <c r="W3" s="180"/>
      <c r="X3" s="181"/>
      <c r="Y3" s="20"/>
      <c r="Z3" s="20"/>
      <c r="AA3" s="20"/>
      <c r="AB3" s="66"/>
      <c r="AC3" s="20"/>
      <c r="AD3" s="179" t="s">
        <v>96</v>
      </c>
      <c r="AE3" s="180"/>
      <c r="AF3" s="181"/>
      <c r="AG3" s="20"/>
      <c r="AH3" s="20"/>
      <c r="AI3" s="20"/>
      <c r="AJ3" s="128"/>
      <c r="AK3" s="132"/>
      <c r="AL3" s="20"/>
      <c r="AM3" s="168" t="s">
        <v>51</v>
      </c>
      <c r="AN3" s="169"/>
      <c r="AO3" s="20"/>
      <c r="AP3" s="20"/>
      <c r="AQ3" s="20"/>
      <c r="AR3" s="20"/>
      <c r="AS3" s="20"/>
      <c r="AT3" s="33"/>
      <c r="AU3" s="132"/>
      <c r="AV3" s="20"/>
      <c r="AW3" s="20"/>
      <c r="AX3" s="20"/>
      <c r="AY3" s="20"/>
      <c r="AZ3" s="20"/>
      <c r="BA3" s="20"/>
      <c r="BB3" s="20"/>
      <c r="BC3" s="20"/>
      <c r="BD3" s="20"/>
      <c r="BE3" s="20"/>
      <c r="BF3" s="20"/>
      <c r="BG3" s="20"/>
      <c r="BH3" s="20"/>
      <c r="BI3" s="20"/>
      <c r="BJ3" s="20"/>
      <c r="BK3" s="20"/>
      <c r="BL3" s="20"/>
      <c r="BM3" s="20"/>
      <c r="BN3" s="20"/>
      <c r="BO3" s="20"/>
      <c r="BP3" s="20"/>
      <c r="BQ3" s="20"/>
      <c r="BR3" s="20"/>
      <c r="BS3" s="20"/>
    </row>
    <row r="4" spans="1:83" ht="18">
      <c r="A4" s="20"/>
      <c r="B4" s="20"/>
      <c r="C4" s="8" t="s">
        <v>46</v>
      </c>
      <c r="D4" s="8" t="s">
        <v>91</v>
      </c>
      <c r="E4" s="8" t="s">
        <v>92</v>
      </c>
      <c r="F4" s="8" t="s">
        <v>47</v>
      </c>
      <c r="G4" s="8" t="s">
        <v>48</v>
      </c>
      <c r="H4" s="20"/>
      <c r="I4" s="33"/>
      <c r="J4" s="132"/>
      <c r="K4" s="182" t="str">
        <f>B6</f>
        <v>B</v>
      </c>
      <c r="L4" s="183"/>
      <c r="M4" s="58" t="str">
        <f>B5</f>
        <v>A</v>
      </c>
      <c r="N4" s="62" t="str">
        <f>C5</f>
        <v>Temperature</v>
      </c>
      <c r="O4" s="62"/>
      <c r="P4" s="63"/>
      <c r="Q4" s="20"/>
      <c r="R4" s="66"/>
      <c r="S4" s="20"/>
      <c r="T4" s="178"/>
      <c r="U4" s="4" t="s">
        <v>6</v>
      </c>
      <c r="V4" s="4" t="s">
        <v>0</v>
      </c>
      <c r="W4" s="4" t="s">
        <v>1</v>
      </c>
      <c r="X4" s="4" t="s">
        <v>2</v>
      </c>
      <c r="Y4" s="20"/>
      <c r="Z4" s="104" t="s">
        <v>45</v>
      </c>
      <c r="AA4" s="20"/>
      <c r="AB4" s="66"/>
      <c r="AC4" s="20"/>
      <c r="AD4" s="4" t="s">
        <v>0</v>
      </c>
      <c r="AE4" s="4" t="s">
        <v>1</v>
      </c>
      <c r="AF4" s="4" t="s">
        <v>2</v>
      </c>
      <c r="AG4" s="20"/>
      <c r="AH4" s="20"/>
      <c r="AI4" s="20"/>
      <c r="AJ4" s="128"/>
      <c r="AK4" s="132"/>
      <c r="AL4" s="94" t="str">
        <f>C4</f>
        <v>Factor</v>
      </c>
      <c r="AM4" s="94" t="str">
        <f>D3</f>
        <v xml:space="preserve">Product quantity </v>
      </c>
      <c r="AN4" s="95" t="str">
        <f>E3</f>
        <v>[kg/h]</v>
      </c>
      <c r="AO4" s="95" t="s">
        <v>8</v>
      </c>
      <c r="AP4" s="96" t="s">
        <v>9</v>
      </c>
      <c r="AQ4" s="96" t="s">
        <v>102</v>
      </c>
      <c r="AR4" s="96" t="s">
        <v>52</v>
      </c>
      <c r="AS4" s="132"/>
      <c r="AT4" s="33"/>
      <c r="AU4" s="132"/>
      <c r="AV4" s="132"/>
      <c r="AW4" s="20"/>
      <c r="AX4" s="20"/>
      <c r="AY4" s="20"/>
      <c r="AZ4" s="20"/>
      <c r="BA4" s="20"/>
      <c r="BB4" s="20"/>
      <c r="BC4" s="23" t="s">
        <v>20</v>
      </c>
      <c r="BD4" s="31"/>
      <c r="BE4" s="31"/>
      <c r="BF4" s="31"/>
      <c r="BG4" s="31"/>
      <c r="BH4" s="31"/>
      <c r="BI4" s="31"/>
      <c r="BJ4" s="31"/>
      <c r="BK4" s="31"/>
      <c r="BL4" s="31"/>
      <c r="BM4" s="31"/>
      <c r="BN4" s="31"/>
      <c r="BO4" s="31"/>
      <c r="BP4" s="31"/>
      <c r="BQ4" s="28" t="s">
        <v>12</v>
      </c>
      <c r="BR4" s="13">
        <f>$AX$14</f>
        <v>76.5</v>
      </c>
      <c r="BS4" s="20"/>
    </row>
    <row r="5" spans="1:83" ht="15" customHeight="1">
      <c r="A5" s="20"/>
      <c r="B5" s="143" t="s">
        <v>0</v>
      </c>
      <c r="C5" s="3" t="s">
        <v>49</v>
      </c>
      <c r="D5" s="3" t="s">
        <v>68</v>
      </c>
      <c r="E5" s="3" t="s">
        <v>50</v>
      </c>
      <c r="F5" s="3">
        <v>130</v>
      </c>
      <c r="G5" s="3">
        <v>140</v>
      </c>
      <c r="H5" s="20"/>
      <c r="I5" s="33"/>
      <c r="J5" s="132"/>
      <c r="K5" s="184" t="str">
        <f>C6</f>
        <v>Retention time</v>
      </c>
      <c r="L5" s="185"/>
      <c r="M5" s="36">
        <f>F5</f>
        <v>130</v>
      </c>
      <c r="N5" s="34" t="s">
        <v>23</v>
      </c>
      <c r="O5" s="35">
        <f>G5</f>
        <v>140</v>
      </c>
      <c r="P5" s="34" t="s">
        <v>24</v>
      </c>
      <c r="Q5" s="20"/>
      <c r="R5" s="65"/>
      <c r="S5" s="20"/>
      <c r="T5" s="5" t="s">
        <v>7</v>
      </c>
      <c r="U5" s="6">
        <v>1</v>
      </c>
      <c r="V5" s="6">
        <f>-1</f>
        <v>-1</v>
      </c>
      <c r="W5" s="6">
        <f>-1</f>
        <v>-1</v>
      </c>
      <c r="X5" s="6">
        <f>PRODUCT(V5,W5)</f>
        <v>1</v>
      </c>
      <c r="Y5" s="20"/>
      <c r="Z5" s="21">
        <f>$N$6</f>
        <v>70</v>
      </c>
      <c r="AA5" s="20"/>
      <c r="AB5" s="65"/>
      <c r="AC5" s="20"/>
      <c r="AD5" s="6">
        <f>$V5*$Z5</f>
        <v>-70</v>
      </c>
      <c r="AE5" s="6">
        <f>$W5*$Z5</f>
        <v>-70</v>
      </c>
      <c r="AF5" s="6">
        <f>$X5*$Z5</f>
        <v>70</v>
      </c>
      <c r="AG5" s="20"/>
      <c r="AH5" s="20"/>
      <c r="AI5" s="20"/>
      <c r="AJ5" s="128"/>
      <c r="AK5" s="132"/>
      <c r="AL5" s="91"/>
      <c r="AM5" s="164"/>
      <c r="AN5" s="165"/>
      <c r="AO5" s="91"/>
      <c r="AP5" s="91"/>
      <c r="AQ5" s="21"/>
      <c r="AR5" s="91"/>
      <c r="AS5" s="132"/>
      <c r="AT5" s="33"/>
      <c r="AU5" s="132"/>
      <c r="AV5" s="132"/>
      <c r="AW5" s="20"/>
      <c r="AX5" s="20"/>
      <c r="AY5" s="141" t="s">
        <v>62</v>
      </c>
      <c r="AZ5" s="1"/>
      <c r="BA5" s="20"/>
      <c r="BB5" s="20"/>
      <c r="BC5" s="23" t="s">
        <v>14</v>
      </c>
      <c r="BD5" s="24" t="s">
        <v>11</v>
      </c>
      <c r="BE5" s="24" t="s">
        <v>15</v>
      </c>
      <c r="BF5" s="25"/>
      <c r="BG5" s="25"/>
      <c r="BH5" s="25"/>
      <c r="BI5" s="25"/>
      <c r="BJ5" s="25"/>
      <c r="BK5" s="25"/>
      <c r="BL5" s="25"/>
      <c r="BM5" s="24"/>
      <c r="BN5" s="26">
        <f>$AX$15</f>
        <v>1.5</v>
      </c>
      <c r="BO5" s="24" t="s">
        <v>11</v>
      </c>
      <c r="BP5" s="27">
        <f>$AZ$6</f>
        <v>0.3</v>
      </c>
      <c r="BQ5" s="28" t="s">
        <v>12</v>
      </c>
      <c r="BR5" s="13">
        <f>BN5*BP5*$AW15</f>
        <v>0.44999999999999996</v>
      </c>
      <c r="BS5" s="20"/>
    </row>
    <row r="6" spans="1:83" ht="18">
      <c r="A6" s="20"/>
      <c r="B6" s="143" t="s">
        <v>1</v>
      </c>
      <c r="C6" s="3" t="s">
        <v>101</v>
      </c>
      <c r="D6" s="3" t="s">
        <v>31</v>
      </c>
      <c r="E6" s="3" t="s">
        <v>50</v>
      </c>
      <c r="F6" s="3">
        <v>3</v>
      </c>
      <c r="G6" s="3">
        <v>4</v>
      </c>
      <c r="H6" s="20"/>
      <c r="I6" s="33"/>
      <c r="J6" s="132"/>
      <c r="K6" s="38">
        <f>F6</f>
        <v>3</v>
      </c>
      <c r="L6" s="37" t="s">
        <v>23</v>
      </c>
      <c r="M6" s="8" t="s">
        <v>7</v>
      </c>
      <c r="N6" s="3">
        <v>70</v>
      </c>
      <c r="O6" s="8" t="s">
        <v>3</v>
      </c>
      <c r="P6" s="3">
        <v>74</v>
      </c>
      <c r="Q6" s="20"/>
      <c r="R6" s="65"/>
      <c r="S6" s="20"/>
      <c r="T6" s="4" t="s">
        <v>3</v>
      </c>
      <c r="U6" s="6">
        <v>1</v>
      </c>
      <c r="V6" s="6">
        <v>1</v>
      </c>
      <c r="W6" s="6">
        <f>-1</f>
        <v>-1</v>
      </c>
      <c r="X6" s="6">
        <f t="shared" ref="X6:X7" si="0">PRODUCT(V6:W6)</f>
        <v>-1</v>
      </c>
      <c r="Y6" s="20"/>
      <c r="Z6" s="21">
        <f>$P$6</f>
        <v>74</v>
      </c>
      <c r="AA6" s="20"/>
      <c r="AB6" s="65"/>
      <c r="AC6" s="20"/>
      <c r="AD6" s="6">
        <f>$V6*$Z6</f>
        <v>74</v>
      </c>
      <c r="AE6" s="6">
        <f>$W6*$Z6</f>
        <v>-74</v>
      </c>
      <c r="AF6" s="6">
        <f>$X6*$Z6</f>
        <v>-74</v>
      </c>
      <c r="AG6" s="20"/>
      <c r="AH6" s="20"/>
      <c r="AI6" s="20"/>
      <c r="AJ6" s="128"/>
      <c r="AK6" s="132"/>
      <c r="AL6" s="21" t="s">
        <v>0</v>
      </c>
      <c r="AM6" s="166">
        <f>AD9</f>
        <v>3</v>
      </c>
      <c r="AN6" s="167"/>
      <c r="AO6" s="92">
        <f>AM6^2</f>
        <v>9</v>
      </c>
      <c r="AP6" s="93">
        <f>AO6/$AR$12</f>
        <v>22.5</v>
      </c>
      <c r="AQ6" s="21" t="str">
        <f>IF($AP6&gt;$AR$15,$AQ$22,"")</f>
        <v>significant</v>
      </c>
      <c r="AR6" s="130">
        <f>FDIST(AP6,1,$AP$13)</f>
        <v>9.0144813339089365E-3</v>
      </c>
      <c r="AS6" s="132"/>
      <c r="AT6" s="33"/>
      <c r="AU6" s="132"/>
      <c r="AV6" s="132"/>
      <c r="AW6" s="20"/>
      <c r="AX6" s="1" t="s">
        <v>0</v>
      </c>
      <c r="AY6" s="10">
        <v>136.5</v>
      </c>
      <c r="AZ6" s="18">
        <f>(AY6-AVERAGE(F5:G5))/(G5-F5)*2</f>
        <v>0.3</v>
      </c>
      <c r="BA6" s="17" t="s">
        <v>21</v>
      </c>
      <c r="BB6" s="20"/>
      <c r="BC6" s="23" t="s">
        <v>16</v>
      </c>
      <c r="BD6" s="24" t="s">
        <v>11</v>
      </c>
      <c r="BE6" s="24" t="s">
        <v>18</v>
      </c>
      <c r="BF6" s="25"/>
      <c r="BG6" s="25"/>
      <c r="BH6" s="25"/>
      <c r="BI6" s="25"/>
      <c r="BJ6" s="25"/>
      <c r="BK6" s="25"/>
      <c r="BL6" s="25"/>
      <c r="BM6" s="24"/>
      <c r="BN6" s="26">
        <f>$AX$16</f>
        <v>4.5</v>
      </c>
      <c r="BO6" s="24" t="s">
        <v>11</v>
      </c>
      <c r="BP6" s="27">
        <f>$AZ$7</f>
        <v>0.20000000000000018</v>
      </c>
      <c r="BQ6" s="28" t="s">
        <v>12</v>
      </c>
      <c r="BR6" s="13">
        <f>BN6*BP6*$AW16</f>
        <v>0.9000000000000008</v>
      </c>
      <c r="BS6" s="20"/>
    </row>
    <row r="7" spans="1:83" ht="18">
      <c r="A7" s="20"/>
      <c r="B7" s="20"/>
      <c r="C7" s="20"/>
      <c r="D7" s="20"/>
      <c r="E7" s="20"/>
      <c r="F7" s="20"/>
      <c r="G7" s="20"/>
      <c r="H7" s="20"/>
      <c r="I7" s="33"/>
      <c r="J7" s="132"/>
      <c r="K7" s="38">
        <f>G6</f>
        <v>4</v>
      </c>
      <c r="L7" s="37" t="s">
        <v>24</v>
      </c>
      <c r="M7" s="8" t="s">
        <v>4</v>
      </c>
      <c r="N7" s="3">
        <v>80</v>
      </c>
      <c r="O7" s="8" t="s">
        <v>5</v>
      </c>
      <c r="P7" s="3">
        <v>82</v>
      </c>
      <c r="Q7" s="20"/>
      <c r="R7" s="65"/>
      <c r="S7" s="20"/>
      <c r="T7" s="4" t="s">
        <v>4</v>
      </c>
      <c r="U7" s="6">
        <v>1</v>
      </c>
      <c r="V7" s="6">
        <f>-1</f>
        <v>-1</v>
      </c>
      <c r="W7" s="6">
        <v>1</v>
      </c>
      <c r="X7" s="6">
        <f t="shared" si="0"/>
        <v>-1</v>
      </c>
      <c r="Y7" s="20"/>
      <c r="Z7" s="21">
        <f>$N$7</f>
        <v>80</v>
      </c>
      <c r="AA7" s="20"/>
      <c r="AB7" s="65"/>
      <c r="AC7" s="20"/>
      <c r="AD7" s="6">
        <f>$V7*$Z7</f>
        <v>-80</v>
      </c>
      <c r="AE7" s="6">
        <f>$W7*$Z7</f>
        <v>80</v>
      </c>
      <c r="AF7" s="6">
        <f>$X7*$Z7</f>
        <v>-80</v>
      </c>
      <c r="AG7" s="20"/>
      <c r="AH7" s="20"/>
      <c r="AI7" s="20"/>
      <c r="AJ7" s="128"/>
      <c r="AK7" s="132"/>
      <c r="AL7" s="21" t="s">
        <v>1</v>
      </c>
      <c r="AM7" s="166">
        <f>AE9</f>
        <v>9</v>
      </c>
      <c r="AN7" s="167"/>
      <c r="AO7" s="92">
        <f t="shared" ref="AO7" si="1">AM7^2</f>
        <v>81</v>
      </c>
      <c r="AP7" s="93">
        <f t="shared" ref="AP7" si="2">AO7/$AR$12</f>
        <v>202.5</v>
      </c>
      <c r="AQ7" s="21" t="str">
        <f>IF($AP7&gt;$AR$15,$AQ$22,"")</f>
        <v>significant</v>
      </c>
      <c r="AR7" s="130">
        <f t="shared" ref="AR7" si="3">FDIST(AP7,1,$AP$13)</f>
        <v>1.4162405984398209E-4</v>
      </c>
      <c r="AS7" s="132"/>
      <c r="AT7" s="33"/>
      <c r="AU7" s="132"/>
      <c r="AV7" s="132"/>
      <c r="AW7" s="20"/>
      <c r="AX7" s="1" t="s">
        <v>1</v>
      </c>
      <c r="AY7" s="10">
        <v>3.6</v>
      </c>
      <c r="AZ7" s="18">
        <f>(AY7-AVERAGE(F6:G6))/(G6-F6)*2</f>
        <v>0.20000000000000018</v>
      </c>
      <c r="BA7" s="17" t="s">
        <v>22</v>
      </c>
      <c r="BB7" s="20"/>
      <c r="BC7" s="29" t="s">
        <v>17</v>
      </c>
      <c r="BD7" s="30" t="s">
        <v>11</v>
      </c>
      <c r="BE7" s="30" t="s">
        <v>19</v>
      </c>
      <c r="BF7" s="31" t="s">
        <v>11</v>
      </c>
      <c r="BG7" s="31" t="s">
        <v>18</v>
      </c>
      <c r="BH7" s="31"/>
      <c r="BI7" s="31"/>
      <c r="BJ7" s="31"/>
      <c r="BK7" s="31"/>
      <c r="BL7" s="31">
        <f>$AX$17</f>
        <v>-0.5</v>
      </c>
      <c r="BM7" s="30" t="s">
        <v>11</v>
      </c>
      <c r="BN7" s="32">
        <f>$AZ$6</f>
        <v>0.3</v>
      </c>
      <c r="BO7" s="30" t="s">
        <v>11</v>
      </c>
      <c r="BP7" s="27">
        <f>$AZ$7</f>
        <v>0.20000000000000018</v>
      </c>
      <c r="BQ7" s="28" t="s">
        <v>12</v>
      </c>
      <c r="BR7" s="68">
        <f>BL7*BN7*BP7*$AW17</f>
        <v>0</v>
      </c>
      <c r="BS7" s="67"/>
    </row>
    <row r="8" spans="1:83" ht="15.75">
      <c r="A8" s="20"/>
      <c r="B8" s="20"/>
      <c r="C8" s="20"/>
      <c r="D8" s="20"/>
      <c r="E8" s="20"/>
      <c r="F8" s="20"/>
      <c r="G8" s="20"/>
      <c r="H8" s="20"/>
      <c r="I8" s="33"/>
      <c r="J8" s="132"/>
      <c r="K8" s="20"/>
      <c r="L8" s="20"/>
      <c r="M8" s="20"/>
      <c r="N8" s="20"/>
      <c r="O8" s="20"/>
      <c r="P8" s="20"/>
      <c r="Q8" s="20"/>
      <c r="R8" s="33"/>
      <c r="S8" s="20"/>
      <c r="T8" s="4" t="s">
        <v>5</v>
      </c>
      <c r="U8" s="6">
        <v>1</v>
      </c>
      <c r="V8" s="6">
        <v>1</v>
      </c>
      <c r="W8" s="6">
        <v>1</v>
      </c>
      <c r="X8" s="6">
        <f>PRODUCT(U8:W8)</f>
        <v>1</v>
      </c>
      <c r="Y8" s="20"/>
      <c r="Z8" s="21">
        <f>$P$7</f>
        <v>82</v>
      </c>
      <c r="AA8" s="20"/>
      <c r="AB8" s="33"/>
      <c r="AC8" s="20"/>
      <c r="AD8" s="6">
        <f>$V8*$Z8</f>
        <v>82</v>
      </c>
      <c r="AE8" s="6">
        <f>$W8*$Z8</f>
        <v>82</v>
      </c>
      <c r="AF8" s="6">
        <f>$X8*$Z8</f>
        <v>82</v>
      </c>
      <c r="AG8" s="20"/>
      <c r="AH8" s="20"/>
      <c r="AI8" s="20"/>
      <c r="AJ8" s="128"/>
      <c r="AK8" s="132"/>
      <c r="AL8" s="21" t="s">
        <v>2</v>
      </c>
      <c r="AM8" s="166">
        <f>AF9</f>
        <v>-1</v>
      </c>
      <c r="AN8" s="167"/>
      <c r="AO8" s="92">
        <f>AM8^2</f>
        <v>1</v>
      </c>
      <c r="AP8" s="93">
        <f>AO8/$AR$12</f>
        <v>2.5</v>
      </c>
      <c r="AQ8" s="21" t="str">
        <f>IF($AP8&gt;$AR$15,$AQ$22,"")</f>
        <v/>
      </c>
      <c r="AR8" s="130">
        <f>FDIST(AP8,1,$AP$13)</f>
        <v>0.1890036584551755</v>
      </c>
      <c r="AS8" s="132"/>
      <c r="AT8" s="33"/>
      <c r="AU8" s="132"/>
      <c r="AV8" s="132"/>
      <c r="AW8" s="20"/>
      <c r="AX8" s="20"/>
      <c r="AY8" s="47" t="s">
        <v>10</v>
      </c>
      <c r="AZ8" s="48">
        <f>$AX$14 +$AX$15*$AZ$6*$AW$15+$AX$16*$AZ$7*$AW$16+$AX$17*$AZ$6*$AZ$7*$AW$17</f>
        <v>77.850000000000009</v>
      </c>
      <c r="BA8" s="20"/>
      <c r="BB8" s="20"/>
      <c r="BC8" s="20"/>
      <c r="BD8" s="20"/>
      <c r="BE8" s="20"/>
      <c r="BF8" s="20"/>
      <c r="BG8" s="20"/>
      <c r="BH8" s="20"/>
      <c r="BI8" s="20"/>
      <c r="BJ8" s="20"/>
      <c r="BK8" s="20"/>
      <c r="BL8" s="20"/>
      <c r="BM8" s="20"/>
      <c r="BN8" s="20"/>
      <c r="BO8" s="20"/>
      <c r="BP8" s="29" t="s">
        <v>13</v>
      </c>
      <c r="BQ8" s="49" t="s">
        <v>12</v>
      </c>
      <c r="BR8" s="69">
        <f>SUM(BR4:BR7)</f>
        <v>77.850000000000009</v>
      </c>
      <c r="BS8" s="20"/>
    </row>
    <row r="9" spans="1:83" ht="15.75">
      <c r="R9" s="33"/>
      <c r="S9" s="20"/>
      <c r="T9" s="20"/>
      <c r="U9" s="20"/>
      <c r="V9" s="20"/>
      <c r="W9" s="20"/>
      <c r="X9" s="20"/>
      <c r="Y9" s="20"/>
      <c r="Z9" s="4">
        <f>AVERAGE(Z5:Z8)</f>
        <v>76.5</v>
      </c>
      <c r="AA9" s="20"/>
      <c r="AB9" s="33"/>
      <c r="AC9" s="20"/>
      <c r="AD9" s="4">
        <f>SUM(AD$5:AD$8)/2</f>
        <v>3</v>
      </c>
      <c r="AE9" s="4">
        <f t="shared" ref="AE9:AF9" si="4">SUM(AE$5:AE$8)/2</f>
        <v>9</v>
      </c>
      <c r="AF9" s="4">
        <f t="shared" si="4"/>
        <v>-1</v>
      </c>
      <c r="AG9" s="20"/>
      <c r="AH9" s="20"/>
      <c r="AI9" s="20"/>
      <c r="AJ9" s="128"/>
      <c r="AK9" s="132"/>
      <c r="AL9" s="20"/>
      <c r="AM9" s="20"/>
      <c r="AN9" s="20"/>
      <c r="AO9" s="20"/>
      <c r="AP9" s="20"/>
      <c r="AQ9" s="20"/>
      <c r="AR9" s="20"/>
      <c r="AS9" s="20"/>
      <c r="AT9" s="33"/>
      <c r="AU9" s="132"/>
      <c r="AV9" s="20"/>
      <c r="AW9" s="20"/>
      <c r="AX9" s="20"/>
      <c r="AY9" s="20"/>
      <c r="AZ9" s="20"/>
      <c r="BA9" s="20"/>
      <c r="BB9" s="20"/>
      <c r="BC9" s="20"/>
      <c r="BD9" s="20"/>
      <c r="BE9" s="20"/>
      <c r="BF9" s="20"/>
      <c r="BG9" s="20"/>
      <c r="BH9" s="20"/>
      <c r="BI9" s="20"/>
      <c r="BJ9" s="20"/>
      <c r="BK9" s="20"/>
      <c r="BL9" s="20"/>
      <c r="BM9" s="20"/>
      <c r="BN9" s="20"/>
      <c r="BO9" s="20"/>
      <c r="BP9" s="20"/>
      <c r="BQ9" s="20"/>
      <c r="BR9" s="20"/>
      <c r="BS9" s="20"/>
    </row>
    <row r="10" spans="1:83" ht="15.75">
      <c r="R10" s="33"/>
      <c r="S10" s="20"/>
      <c r="T10" s="20"/>
      <c r="U10" s="20"/>
      <c r="V10" s="20"/>
      <c r="W10" s="20"/>
      <c r="X10" s="20"/>
      <c r="Y10" s="20"/>
      <c r="Z10" s="20"/>
      <c r="AA10" s="20"/>
      <c r="AB10" s="33"/>
      <c r="AC10" s="20"/>
      <c r="AD10" s="20"/>
      <c r="AE10" s="20"/>
      <c r="AF10" s="20"/>
      <c r="AG10" s="20"/>
      <c r="AH10" s="20"/>
      <c r="AI10" s="20"/>
      <c r="AJ10" s="128"/>
      <c r="AK10" s="132"/>
      <c r="AL10" s="20"/>
      <c r="AM10" s="20"/>
      <c r="AN10" s="20"/>
      <c r="AO10" s="20"/>
      <c r="AP10" s="20"/>
      <c r="AQ10" s="20"/>
      <c r="AR10" s="20"/>
      <c r="AS10" s="20"/>
      <c r="AT10" s="33"/>
      <c r="AU10" s="132"/>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row>
    <row r="11" spans="1:83" ht="15.75">
      <c r="R11" s="33"/>
      <c r="S11" s="20"/>
      <c r="T11" s="20"/>
      <c r="U11" s="20"/>
      <c r="V11" s="20"/>
      <c r="W11" s="20"/>
      <c r="X11" s="20"/>
      <c r="Y11" s="20"/>
      <c r="Z11" s="20"/>
      <c r="AA11" s="20"/>
      <c r="AB11" s="33"/>
      <c r="AC11" s="20"/>
      <c r="AD11" s="20"/>
      <c r="AE11" s="20"/>
      <c r="AF11" s="20"/>
      <c r="AG11" s="20"/>
      <c r="AH11" s="20"/>
      <c r="AI11" s="20"/>
      <c r="AJ11" s="128"/>
      <c r="AK11" s="132"/>
      <c r="AL11" s="20"/>
      <c r="AM11" s="20"/>
      <c r="AN11" s="20"/>
      <c r="AO11" s="20"/>
      <c r="AP11" s="20"/>
      <c r="AQ11" s="20"/>
      <c r="AR11" s="20"/>
      <c r="AS11" s="20"/>
      <c r="AT11" s="33"/>
      <c r="AU11" s="132"/>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row>
    <row r="12" spans="1:83" ht="18">
      <c r="R12" s="33"/>
      <c r="S12" s="20"/>
      <c r="T12" s="20"/>
      <c r="U12" s="20"/>
      <c r="V12" s="20"/>
      <c r="W12" s="20"/>
      <c r="X12" s="20"/>
      <c r="Y12" s="20"/>
      <c r="Z12" s="20"/>
      <c r="AA12" s="20"/>
      <c r="AB12" s="33"/>
      <c r="AC12" s="20"/>
      <c r="AD12" s="186" t="s">
        <v>97</v>
      </c>
      <c r="AE12" s="187"/>
      <c r="AF12" s="188"/>
      <c r="AG12" s="20"/>
      <c r="AH12" s="20"/>
      <c r="AI12" s="20"/>
      <c r="AJ12" s="128"/>
      <c r="AK12" s="132"/>
      <c r="AL12" s="20"/>
      <c r="AM12" s="20"/>
      <c r="AN12" s="20"/>
      <c r="AO12" s="42" t="s">
        <v>25</v>
      </c>
      <c r="AP12" s="56">
        <v>1.6</v>
      </c>
      <c r="AQ12" s="87" t="s">
        <v>29</v>
      </c>
      <c r="AR12" s="89">
        <f>AP12/AP13</f>
        <v>0.4</v>
      </c>
      <c r="AS12" s="20"/>
      <c r="AT12" s="33"/>
      <c r="AU12" s="132"/>
      <c r="AV12" s="20"/>
      <c r="AW12" s="20"/>
      <c r="AX12" s="44" t="s">
        <v>54</v>
      </c>
      <c r="AY12" s="20"/>
      <c r="AZ12" s="20"/>
      <c r="BA12" s="20"/>
      <c r="BB12" s="20"/>
      <c r="BC12" s="20"/>
      <c r="BD12" s="20"/>
      <c r="BE12" s="20"/>
      <c r="BF12" s="20"/>
      <c r="BG12" s="20"/>
      <c r="BH12" s="20"/>
      <c r="BI12" s="20"/>
      <c r="BJ12" s="20"/>
      <c r="BK12" s="20"/>
      <c r="BL12" s="20"/>
      <c r="BM12" s="20"/>
      <c r="BN12" s="20"/>
      <c r="BO12" s="20"/>
      <c r="BP12" s="20"/>
      <c r="BQ12" s="20"/>
      <c r="BR12" s="20"/>
      <c r="BS12" s="20"/>
      <c r="BY12" s="22"/>
      <c r="CE12" s="22"/>
    </row>
    <row r="13" spans="1:83" ht="15" customHeight="1">
      <c r="R13" s="33"/>
      <c r="S13" s="20"/>
      <c r="T13" s="20"/>
      <c r="U13" s="20"/>
      <c r="V13" s="20"/>
      <c r="W13" s="20"/>
      <c r="X13" s="20"/>
      <c r="Y13" s="20"/>
      <c r="Z13" s="20"/>
      <c r="AA13" s="20"/>
      <c r="AB13" s="33"/>
      <c r="AC13" s="20"/>
      <c r="AD13" s="189"/>
      <c r="AE13" s="190"/>
      <c r="AF13" s="191"/>
      <c r="AG13" s="20"/>
      <c r="AH13" s="20"/>
      <c r="AI13" s="20"/>
      <c r="AJ13" s="128"/>
      <c r="AK13" s="132"/>
      <c r="AL13" s="20"/>
      <c r="AM13" s="20"/>
      <c r="AN13" s="20"/>
      <c r="AO13" s="42" t="s">
        <v>26</v>
      </c>
      <c r="AP13" s="57">
        <v>4</v>
      </c>
      <c r="AQ13" s="88"/>
      <c r="AR13" s="90"/>
      <c r="AS13" s="20"/>
      <c r="AT13" s="33"/>
      <c r="AU13" s="132"/>
      <c r="AV13" s="20"/>
      <c r="AW13" s="44" t="s">
        <v>53</v>
      </c>
      <c r="AX13" s="45" t="s">
        <v>55</v>
      </c>
      <c r="AY13" s="20"/>
      <c r="AZ13" s="20"/>
      <c r="BA13" s="20"/>
      <c r="BB13" s="20"/>
      <c r="BC13" s="20"/>
      <c r="BD13" s="20"/>
      <c r="BE13" s="20"/>
      <c r="BF13" s="20"/>
      <c r="BG13" s="20"/>
      <c r="BH13" s="20"/>
      <c r="BI13" s="20"/>
      <c r="BJ13" s="20"/>
      <c r="BK13" s="20"/>
      <c r="BL13" s="20"/>
      <c r="BM13" s="20"/>
      <c r="BN13" s="20"/>
      <c r="BO13" s="20"/>
      <c r="BP13" s="20"/>
      <c r="BQ13" s="20"/>
      <c r="BR13" s="20"/>
      <c r="BS13" s="20"/>
    </row>
    <row r="14" spans="1:83" ht="14.25" customHeight="1">
      <c r="R14" s="33"/>
      <c r="S14" s="20"/>
      <c r="T14" s="20"/>
      <c r="U14" s="20"/>
      <c r="V14" s="20"/>
      <c r="W14" s="20"/>
      <c r="X14" s="20"/>
      <c r="Y14" s="20"/>
      <c r="Z14" s="20"/>
      <c r="AA14" s="20"/>
      <c r="AB14" s="33"/>
      <c r="AC14" s="20"/>
      <c r="AD14" s="20"/>
      <c r="AE14" s="64" t="str">
        <f>AD4</f>
        <v>A</v>
      </c>
      <c r="AF14" s="64" t="str">
        <f>AE4</f>
        <v>B</v>
      </c>
      <c r="AG14" s="20"/>
      <c r="AH14" s="20"/>
      <c r="AI14" s="20"/>
      <c r="AJ14" s="128"/>
      <c r="AK14" s="132"/>
      <c r="AL14" s="20"/>
      <c r="AM14" s="20"/>
      <c r="AN14" s="20"/>
      <c r="AO14" s="20"/>
      <c r="AP14" s="20"/>
      <c r="AQ14" s="20"/>
      <c r="AR14" s="20"/>
      <c r="AS14" s="20"/>
      <c r="AT14" s="33"/>
      <c r="AU14" s="132"/>
      <c r="AV14" s="20"/>
      <c r="AW14" s="97"/>
      <c r="AX14" s="76">
        <f>Z9</f>
        <v>76.5</v>
      </c>
      <c r="AY14" s="20"/>
      <c r="AZ14" s="20"/>
      <c r="BA14" s="20"/>
      <c r="BB14" s="20"/>
      <c r="BC14" s="20"/>
      <c r="BD14" s="20"/>
      <c r="BE14" s="20"/>
      <c r="BF14" s="20"/>
      <c r="BG14" s="20"/>
      <c r="BH14" s="20"/>
      <c r="BI14" s="20"/>
      <c r="BJ14" s="20"/>
      <c r="BK14" s="20"/>
      <c r="BL14" s="20"/>
      <c r="BM14" s="20"/>
      <c r="BN14" s="20"/>
      <c r="BO14" s="20"/>
      <c r="BP14" s="20"/>
      <c r="BQ14" s="20"/>
      <c r="BR14" s="20"/>
      <c r="BS14" s="20"/>
    </row>
    <row r="15" spans="1:83" ht="15" customHeight="1">
      <c r="AC15" s="20"/>
      <c r="AD15" s="20"/>
      <c r="AE15" s="4" t="str">
        <f>C5</f>
        <v>Temperature</v>
      </c>
      <c r="AF15" s="4" t="str">
        <f>C6</f>
        <v>Retention time</v>
      </c>
      <c r="AG15" s="20"/>
      <c r="AH15" s="20"/>
      <c r="AI15" s="20"/>
      <c r="AJ15" s="128"/>
      <c r="AK15" s="132"/>
      <c r="AL15" s="20"/>
      <c r="AM15" s="20"/>
      <c r="AN15" s="20"/>
      <c r="AO15" s="40" t="s">
        <v>27</v>
      </c>
      <c r="AP15" s="41">
        <v>0.05</v>
      </c>
      <c r="AQ15" s="42" t="s">
        <v>28</v>
      </c>
      <c r="AR15" s="39">
        <f>FINV(AP15,1,AP13)</f>
        <v>7.708647422176786</v>
      </c>
      <c r="AS15" s="20"/>
      <c r="AT15" s="33"/>
      <c r="AU15" s="132"/>
      <c r="AV15" s="1" t="str">
        <f>AL6</f>
        <v>A</v>
      </c>
      <c r="AW15" s="6">
        <f>IF($AP6&gt;$AR$15,1,0)</f>
        <v>1</v>
      </c>
      <c r="AX15" s="77">
        <f>AM6/2</f>
        <v>1.5</v>
      </c>
      <c r="AY15" s="20"/>
      <c r="AZ15" s="20"/>
      <c r="BA15" s="20"/>
      <c r="BB15" s="20"/>
      <c r="BC15" s="20"/>
      <c r="BD15" s="20"/>
      <c r="BE15" s="20"/>
      <c r="BF15" s="20"/>
      <c r="BG15" s="20"/>
      <c r="BH15" s="20"/>
      <c r="BI15" s="20"/>
      <c r="BJ15" s="20"/>
      <c r="BK15" s="20"/>
      <c r="BL15" s="20"/>
      <c r="BM15" s="20"/>
      <c r="BN15" s="20"/>
      <c r="BO15" s="20"/>
      <c r="BP15" s="20"/>
      <c r="BQ15" s="20"/>
      <c r="BR15" s="20"/>
      <c r="BS15" s="20"/>
    </row>
    <row r="16" spans="1:83" ht="18">
      <c r="AC16" s="20"/>
      <c r="AD16" s="2">
        <v>-1</v>
      </c>
      <c r="AE16" s="55">
        <f>ABS(SUMIF(AD$5:AD$8,"&lt;0"))/COUNT(AD$5:AD$8)*2</f>
        <v>75</v>
      </c>
      <c r="AF16" s="55">
        <f>ABS(SUMIF(AE$5:AE$8,"&lt;0"))/COUNT(AE$5:AE$8)*2</f>
        <v>72</v>
      </c>
      <c r="AG16" s="20"/>
      <c r="AH16" s="20"/>
      <c r="AI16" s="20"/>
      <c r="AJ16" s="128"/>
      <c r="AK16" s="132"/>
      <c r="AL16" s="20"/>
      <c r="AM16" s="20"/>
      <c r="AN16" s="148" t="s">
        <v>110</v>
      </c>
      <c r="AO16" s="40" t="s">
        <v>27</v>
      </c>
      <c r="AP16" s="149">
        <v>0.01</v>
      </c>
      <c r="AQ16" s="42" t="s">
        <v>28</v>
      </c>
      <c r="AR16" s="39">
        <f>FINV(AP16,1,AP13)</f>
        <v>21.197689584391309</v>
      </c>
      <c r="AS16" s="20" t="s">
        <v>40</v>
      </c>
      <c r="AT16" s="33"/>
      <c r="AU16" s="132"/>
      <c r="AV16" s="1" t="str">
        <f t="shared" ref="AV16" si="5">AL7</f>
        <v>B</v>
      </c>
      <c r="AW16" s="6">
        <f>IF($AP7&gt;$AR$15,1,0)</f>
        <v>1</v>
      </c>
      <c r="AX16" s="77">
        <f>AM7/2</f>
        <v>4.5</v>
      </c>
      <c r="AY16" s="20"/>
      <c r="AZ16" s="20"/>
      <c r="BA16" s="20"/>
      <c r="BB16" s="20"/>
      <c r="BC16" s="20"/>
      <c r="BD16" s="20"/>
      <c r="BE16" s="20"/>
      <c r="BF16" s="20"/>
      <c r="BG16" s="20"/>
      <c r="BH16" s="20"/>
      <c r="BI16" s="20"/>
      <c r="BJ16" s="20"/>
      <c r="BK16" s="20"/>
      <c r="BL16" s="20"/>
      <c r="BM16" s="20"/>
      <c r="BN16" s="20"/>
      <c r="BO16" s="20"/>
      <c r="BP16" s="20"/>
      <c r="BQ16" s="20"/>
      <c r="BR16" s="20"/>
      <c r="BS16" s="20"/>
    </row>
    <row r="17" spans="20:71" ht="15.75">
      <c r="AC17" s="20"/>
      <c r="AD17" s="2">
        <v>1</v>
      </c>
      <c r="AE17" s="55">
        <f>SUMIF(AD$5:AD$8,"&gt;0")/COUNT(AD$5:AD$8)*2</f>
        <v>78</v>
      </c>
      <c r="AF17" s="55">
        <f>SUMIF(AE$5:AE$8,"&gt;0")/COUNT(AE$5:AE$8)*2</f>
        <v>81</v>
      </c>
      <c r="AG17" s="20"/>
      <c r="AH17" s="20"/>
      <c r="AI17" s="20"/>
      <c r="AJ17" s="128"/>
      <c r="AK17" s="132"/>
      <c r="AL17" s="20"/>
      <c r="AM17" s="20"/>
      <c r="AN17" s="20"/>
      <c r="AO17" s="20"/>
      <c r="AP17" s="20"/>
      <c r="AQ17" s="20"/>
      <c r="AR17" s="20"/>
      <c r="AS17" s="20"/>
      <c r="AT17" s="33"/>
      <c r="AU17" s="132"/>
      <c r="AV17" s="1" t="str">
        <f>AL8</f>
        <v>AB</v>
      </c>
      <c r="AW17" s="6">
        <f>IF($AP8&gt;$AR$15,1,0)</f>
        <v>0</v>
      </c>
      <c r="AX17" s="77">
        <f>AM8/2</f>
        <v>-0.5</v>
      </c>
      <c r="AY17" s="20"/>
      <c r="AZ17" s="20"/>
      <c r="BA17" s="20"/>
      <c r="BB17" s="20"/>
      <c r="BC17" s="20"/>
      <c r="BD17" s="20"/>
      <c r="BE17" s="20"/>
      <c r="BF17" s="20"/>
      <c r="BG17" s="20"/>
      <c r="BH17" s="20"/>
      <c r="BI17" s="20"/>
      <c r="BJ17" s="20"/>
      <c r="BK17" s="20"/>
      <c r="BL17" s="20"/>
      <c r="BM17" s="20"/>
      <c r="BN17" s="20"/>
      <c r="BO17" s="20"/>
      <c r="BP17" s="20"/>
      <c r="BQ17" s="20"/>
      <c r="BR17" s="20"/>
      <c r="BS17" s="20"/>
    </row>
    <row r="18" spans="20:71" ht="15.75">
      <c r="AC18" s="20"/>
      <c r="AD18" s="20"/>
      <c r="AE18" s="20"/>
      <c r="AF18" s="20"/>
      <c r="AG18" s="20"/>
      <c r="AH18" s="20"/>
      <c r="AI18" s="20"/>
      <c r="AJ18" s="128"/>
      <c r="AK18" s="132"/>
      <c r="AL18" s="20"/>
      <c r="AM18" s="20"/>
      <c r="AN18" s="20"/>
      <c r="AO18" s="20"/>
      <c r="AP18" s="20"/>
      <c r="AQ18" s="20"/>
      <c r="AR18" s="20"/>
      <c r="AS18" s="20"/>
      <c r="AT18" s="33"/>
      <c r="AU18" s="132"/>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row>
    <row r="19" spans="20:71" ht="15.75">
      <c r="X19"/>
      <c r="AC19" s="20"/>
      <c r="AD19" s="20"/>
      <c r="AE19" s="20"/>
      <c r="AF19" s="20"/>
      <c r="AG19" s="20"/>
      <c r="AH19" s="20"/>
      <c r="AI19" s="20"/>
      <c r="AJ19" s="128"/>
      <c r="AK19" s="132"/>
      <c r="AL19" s="20"/>
      <c r="AM19" s="20"/>
      <c r="AN19" s="20"/>
      <c r="AO19" s="20"/>
      <c r="AP19" s="20"/>
      <c r="AQ19" s="20"/>
      <c r="AR19" s="20"/>
      <c r="AS19" s="20"/>
      <c r="AT19" s="33"/>
      <c r="AU19" s="132"/>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row>
    <row r="20" spans="20:71" ht="15" customHeight="1">
      <c r="AC20" s="20"/>
      <c r="AD20" s="20"/>
      <c r="AE20" s="20"/>
      <c r="AF20" s="20"/>
      <c r="AG20" s="20"/>
      <c r="AH20" s="20"/>
      <c r="AI20" s="20"/>
      <c r="AJ20" s="128"/>
      <c r="AK20" s="132"/>
      <c r="AL20" s="20"/>
      <c r="AM20" s="20"/>
      <c r="AN20" s="20"/>
      <c r="AO20" s="20"/>
      <c r="AP20" s="20"/>
      <c r="AQ20" s="20"/>
      <c r="AR20" s="20"/>
      <c r="AS20" s="20"/>
      <c r="AT20" s="33"/>
      <c r="AU20" s="132"/>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row>
    <row r="21" spans="20:71">
      <c r="AC21" s="20"/>
      <c r="AD21" s="20"/>
      <c r="AE21" s="20"/>
      <c r="AF21" s="20"/>
      <c r="AG21" s="20"/>
      <c r="AH21" s="20"/>
      <c r="AI21" s="20"/>
      <c r="AK21" s="132"/>
    </row>
    <row r="22" spans="20:71">
      <c r="AC22" s="20"/>
      <c r="AD22" s="20"/>
      <c r="AE22" s="20"/>
      <c r="AF22" s="20"/>
      <c r="AG22" s="20"/>
      <c r="AH22" s="20"/>
      <c r="AI22" s="20"/>
      <c r="AK22" s="132"/>
      <c r="AQ22" s="137" t="s">
        <v>65</v>
      </c>
    </row>
    <row r="23" spans="20:71">
      <c r="AC23" s="20"/>
      <c r="AD23" s="20"/>
      <c r="AE23" s="20"/>
      <c r="AF23" s="20"/>
      <c r="AG23" s="20"/>
      <c r="AH23" s="20"/>
      <c r="AI23" s="20"/>
      <c r="AK23" s="132"/>
      <c r="AQ23" s="142" t="s">
        <v>85</v>
      </c>
    </row>
    <row r="24" spans="20:71">
      <c r="AC24" s="20"/>
      <c r="AD24" s="20"/>
      <c r="AE24" s="20"/>
      <c r="AF24" s="20"/>
      <c r="AG24" s="20"/>
      <c r="AH24" s="20"/>
      <c r="AI24" s="20"/>
      <c r="AK24" s="132"/>
    </row>
    <row r="25" spans="20:71">
      <c r="T25" s="19"/>
      <c r="U25" s="19"/>
      <c r="V25" s="19"/>
      <c r="AC25" s="20"/>
      <c r="AD25" s="20"/>
      <c r="AE25" s="20"/>
      <c r="AF25" s="20"/>
      <c r="AG25" s="20"/>
      <c r="AH25" s="20"/>
      <c r="AI25" s="20"/>
      <c r="AK25" s="132"/>
    </row>
    <row r="26" spans="20:71">
      <c r="T26" s="19"/>
      <c r="U26" s="19"/>
      <c r="V26" s="19"/>
      <c r="AC26" s="20"/>
      <c r="AD26" s="20"/>
      <c r="AE26" s="20"/>
      <c r="AF26" s="20"/>
      <c r="AG26" s="20"/>
      <c r="AH26" s="20"/>
      <c r="AI26" s="20"/>
      <c r="AK26" s="132"/>
    </row>
    <row r="27" spans="20:71">
      <c r="T27" s="19"/>
      <c r="U27" s="19"/>
      <c r="V27" s="19"/>
      <c r="AC27" s="20"/>
      <c r="AD27" s="20"/>
      <c r="AE27" s="20"/>
      <c r="AF27" s="20"/>
      <c r="AG27" s="20"/>
      <c r="AH27" s="20"/>
      <c r="AI27" s="20"/>
      <c r="AK27" s="132"/>
    </row>
    <row r="28" spans="20:71">
      <c r="T28" s="19"/>
      <c r="V28" s="19"/>
      <c r="W28"/>
      <c r="AC28" s="20"/>
      <c r="AD28" s="20"/>
      <c r="AE28" s="20"/>
      <c r="AF28" s="20"/>
      <c r="AG28" s="20"/>
      <c r="AH28" s="20"/>
      <c r="AI28" s="20"/>
      <c r="AK28" s="132"/>
    </row>
    <row r="29" spans="20:71">
      <c r="AC29" s="20"/>
      <c r="AD29" s="20"/>
      <c r="AE29" s="20"/>
      <c r="AF29" s="20"/>
      <c r="AG29" s="20"/>
      <c r="AH29" s="20"/>
      <c r="AI29" s="20"/>
      <c r="AK29" s="132"/>
    </row>
    <row r="30" spans="20:71">
      <c r="AC30" s="20"/>
      <c r="AD30" s="20"/>
      <c r="AE30" s="20"/>
      <c r="AF30" s="20"/>
      <c r="AG30" s="20"/>
      <c r="AH30" s="20"/>
      <c r="AI30" s="20"/>
      <c r="AK30" s="132"/>
    </row>
    <row r="31" spans="20:71">
      <c r="AC31" s="20"/>
      <c r="AD31" s="20"/>
      <c r="AE31" s="20"/>
      <c r="AF31" s="20"/>
      <c r="AG31" s="20"/>
      <c r="AH31" s="20"/>
      <c r="AI31" s="20"/>
      <c r="AK31" s="132"/>
    </row>
    <row r="32" spans="20:71">
      <c r="AC32" s="20"/>
      <c r="AD32" s="20"/>
      <c r="AE32" s="20"/>
      <c r="AF32" s="20"/>
      <c r="AG32" s="20"/>
      <c r="AH32" s="20"/>
      <c r="AI32" s="20"/>
      <c r="AK32" s="132"/>
    </row>
    <row r="33" spans="14:37">
      <c r="AC33" s="20"/>
      <c r="AD33" s="20"/>
      <c r="AE33" s="20"/>
      <c r="AF33" s="20"/>
      <c r="AG33" s="20"/>
      <c r="AH33" s="20"/>
      <c r="AI33" s="20"/>
      <c r="AK33" s="132"/>
    </row>
    <row r="34" spans="14:37">
      <c r="AC34" s="20"/>
      <c r="AD34" s="20"/>
      <c r="AE34" s="20"/>
      <c r="AF34" s="20"/>
      <c r="AG34" s="20"/>
      <c r="AH34" s="20"/>
      <c r="AI34" s="20"/>
      <c r="AK34" s="132"/>
    </row>
    <row r="35" spans="14:37">
      <c r="AC35" s="20"/>
      <c r="AD35" s="20"/>
      <c r="AE35" s="20"/>
      <c r="AF35" s="20"/>
      <c r="AG35" s="20"/>
      <c r="AH35" s="20"/>
      <c r="AI35" s="20"/>
      <c r="AK35" s="132"/>
    </row>
    <row r="36" spans="14:37">
      <c r="N36" s="9"/>
      <c r="P36" s="11"/>
      <c r="Q36" s="11"/>
      <c r="R36" s="11"/>
      <c r="AB36" s="11"/>
      <c r="AC36" s="20"/>
      <c r="AD36" s="20"/>
      <c r="AE36" s="20"/>
      <c r="AF36" s="20"/>
      <c r="AG36" s="20"/>
      <c r="AH36" s="20"/>
      <c r="AI36" s="20"/>
      <c r="AK36" s="132"/>
    </row>
    <row r="37" spans="14:37">
      <c r="T37" s="12"/>
      <c r="AC37" s="54"/>
      <c r="AD37" s="54"/>
      <c r="AE37" s="54"/>
      <c r="AF37" s="54"/>
      <c r="AG37" s="54"/>
      <c r="AH37" s="54"/>
      <c r="AI37" s="20"/>
      <c r="AK37" s="132"/>
    </row>
    <row r="38" spans="14:37">
      <c r="AC38" s="20"/>
      <c r="AD38" s="20"/>
      <c r="AE38" s="161" t="s">
        <v>100</v>
      </c>
      <c r="AF38" s="162"/>
      <c r="AG38" s="163"/>
      <c r="AH38" s="20"/>
      <c r="AI38" s="20"/>
      <c r="AK38" s="132"/>
    </row>
    <row r="39" spans="14:37">
      <c r="AC39" s="20"/>
      <c r="AD39" s="20"/>
      <c r="AE39" s="50" t="s">
        <v>0</v>
      </c>
      <c r="AF39" s="50" t="s">
        <v>1</v>
      </c>
      <c r="AG39" s="50" t="s">
        <v>13</v>
      </c>
      <c r="AH39" s="20"/>
      <c r="AI39" s="20"/>
      <c r="AK39" s="132"/>
    </row>
    <row r="40" spans="14:37" ht="21" customHeight="1">
      <c r="AC40" s="20"/>
      <c r="AD40" s="51" t="str">
        <f>$C$6</f>
        <v>Retention time</v>
      </c>
      <c r="AE40" s="53">
        <v>-1</v>
      </c>
      <c r="AF40" s="6">
        <v>-1</v>
      </c>
      <c r="AG40" s="6">
        <f>$Z$5</f>
        <v>70</v>
      </c>
      <c r="AH40" s="20"/>
      <c r="AI40" s="20"/>
      <c r="AK40" s="132"/>
    </row>
    <row r="41" spans="14:37">
      <c r="AC41" s="20"/>
      <c r="AD41" s="52" t="s">
        <v>73</v>
      </c>
      <c r="AE41" s="53">
        <v>1</v>
      </c>
      <c r="AF41" s="6">
        <v>-1</v>
      </c>
      <c r="AG41" s="6">
        <f>$Z$6</f>
        <v>74</v>
      </c>
      <c r="AH41" s="20"/>
      <c r="AI41" s="20"/>
      <c r="AK41" s="132"/>
    </row>
    <row r="42" spans="14:37" ht="21" customHeight="1">
      <c r="AC42" s="20"/>
      <c r="AD42" s="51" t="str">
        <f>$C$6</f>
        <v>Retention time</v>
      </c>
      <c r="AE42" s="53">
        <v>-1</v>
      </c>
      <c r="AF42" s="6">
        <v>1</v>
      </c>
      <c r="AG42" s="6">
        <f>$Z$7</f>
        <v>80</v>
      </c>
      <c r="AH42" s="20"/>
      <c r="AI42" s="20"/>
      <c r="AK42" s="132"/>
    </row>
    <row r="43" spans="14:37">
      <c r="AC43" s="20"/>
      <c r="AD43" s="52" t="s">
        <v>75</v>
      </c>
      <c r="AE43" s="53">
        <v>1</v>
      </c>
      <c r="AF43" s="6">
        <v>1</v>
      </c>
      <c r="AG43" s="6">
        <f>$Z$8</f>
        <v>82</v>
      </c>
      <c r="AH43" s="20"/>
      <c r="AI43" s="20"/>
      <c r="AK43" s="132"/>
    </row>
    <row r="44" spans="14:37">
      <c r="AC44" s="20"/>
      <c r="AD44" s="20"/>
      <c r="AE44" s="20"/>
      <c r="AF44" s="20"/>
      <c r="AG44" s="20"/>
      <c r="AH44" s="20"/>
      <c r="AI44" s="20"/>
      <c r="AK44" s="132"/>
    </row>
    <row r="45" spans="14:37">
      <c r="AC45" s="20"/>
      <c r="AD45" s="20"/>
      <c r="AE45" s="20"/>
      <c r="AF45" s="20"/>
      <c r="AG45" s="20"/>
      <c r="AH45" s="20"/>
      <c r="AI45" s="20"/>
      <c r="AK45" s="132"/>
    </row>
    <row r="46" spans="14:37">
      <c r="AC46" s="20"/>
      <c r="AD46" s="20"/>
      <c r="AE46" s="20"/>
      <c r="AF46" s="20"/>
      <c r="AG46" s="20"/>
      <c r="AH46" s="20"/>
      <c r="AI46" s="20"/>
      <c r="AK46" s="132"/>
    </row>
    <row r="47" spans="14:37">
      <c r="AC47" s="20"/>
      <c r="AD47" s="20"/>
      <c r="AE47" s="20"/>
      <c r="AF47" s="20"/>
      <c r="AG47" s="20"/>
      <c r="AH47" s="20"/>
      <c r="AI47" s="20"/>
      <c r="AK47" s="132"/>
    </row>
    <row r="48" spans="14:37">
      <c r="AC48" s="20"/>
      <c r="AD48" s="20"/>
      <c r="AE48" s="20"/>
      <c r="AF48" s="20"/>
      <c r="AG48" s="20"/>
      <c r="AH48" s="20"/>
      <c r="AI48" s="20"/>
      <c r="AK48" s="132"/>
    </row>
    <row r="49" spans="29:37">
      <c r="AC49" s="20"/>
      <c r="AD49" s="20"/>
      <c r="AE49" s="20"/>
      <c r="AF49" s="20"/>
      <c r="AG49" s="20"/>
      <c r="AH49" s="20"/>
      <c r="AI49" s="20"/>
      <c r="AK49" s="132"/>
    </row>
    <row r="50" spans="29:37">
      <c r="AC50" s="20"/>
      <c r="AD50" s="20"/>
      <c r="AE50" s="20"/>
      <c r="AF50" s="20"/>
      <c r="AG50" s="20"/>
      <c r="AH50" s="20"/>
      <c r="AI50" s="20"/>
      <c r="AK50" s="132"/>
    </row>
    <row r="51" spans="29:37">
      <c r="AC51" s="20"/>
      <c r="AD51" s="20"/>
      <c r="AE51" s="20"/>
      <c r="AF51" s="20"/>
      <c r="AG51" s="20"/>
      <c r="AH51" s="20"/>
      <c r="AI51" s="20"/>
      <c r="AK51" s="132"/>
    </row>
    <row r="52" spans="29:37">
      <c r="AC52" s="20"/>
      <c r="AD52" s="20"/>
      <c r="AE52" s="20"/>
      <c r="AF52" s="20"/>
      <c r="AG52" s="20"/>
      <c r="AH52" s="20"/>
      <c r="AI52" s="20"/>
      <c r="AK52" s="132"/>
    </row>
    <row r="53" spans="29:37">
      <c r="AC53" s="20"/>
      <c r="AD53" s="20"/>
      <c r="AE53" s="20"/>
      <c r="AF53" s="20"/>
      <c r="AG53" s="20"/>
      <c r="AH53" s="20"/>
      <c r="AI53" s="20"/>
      <c r="AK53" s="132"/>
    </row>
    <row r="54" spans="29:37">
      <c r="AC54" s="20"/>
      <c r="AD54" s="20"/>
      <c r="AE54" s="20"/>
      <c r="AF54" s="20"/>
      <c r="AG54" s="20"/>
      <c r="AH54" s="20"/>
      <c r="AI54" s="20"/>
      <c r="AK54" s="132"/>
    </row>
    <row r="55" spans="29:37">
      <c r="AC55" s="20"/>
      <c r="AD55" s="20"/>
      <c r="AE55" s="20"/>
      <c r="AF55" s="20"/>
      <c r="AG55" s="20"/>
      <c r="AH55" s="20"/>
      <c r="AI55" s="20"/>
      <c r="AK55" s="132"/>
    </row>
    <row r="56" spans="29:37">
      <c r="AC56" s="20"/>
      <c r="AD56" s="20"/>
      <c r="AE56" s="20"/>
      <c r="AF56" s="20"/>
      <c r="AG56" s="20"/>
      <c r="AH56" s="20"/>
      <c r="AI56" s="20"/>
      <c r="AK56" s="132"/>
    </row>
    <row r="57" spans="29:37">
      <c r="AC57" s="20"/>
      <c r="AD57" s="20"/>
      <c r="AE57" s="20"/>
      <c r="AF57" s="20"/>
      <c r="AG57" s="20"/>
      <c r="AH57" s="20"/>
      <c r="AI57" s="20"/>
      <c r="AK57" s="132"/>
    </row>
    <row r="58" spans="29:37">
      <c r="AC58" s="20"/>
      <c r="AD58" s="20"/>
      <c r="AE58" s="20"/>
      <c r="AF58" s="20"/>
      <c r="AG58" s="20"/>
      <c r="AH58" s="20"/>
      <c r="AI58" s="20"/>
      <c r="AK58" s="132"/>
    </row>
    <row r="59" spans="29:37">
      <c r="AC59" s="20"/>
      <c r="AD59" s="20"/>
      <c r="AE59" s="20"/>
      <c r="AF59" s="20"/>
      <c r="AG59" s="20"/>
      <c r="AH59" s="20"/>
      <c r="AI59" s="20"/>
      <c r="AK59" s="132"/>
    </row>
    <row r="60" spans="29:37">
      <c r="AC60" s="20"/>
      <c r="AD60" s="20"/>
      <c r="AE60" s="20"/>
      <c r="AF60" s="20"/>
      <c r="AG60" s="20"/>
      <c r="AH60" s="20"/>
      <c r="AI60" s="20"/>
      <c r="AK60" s="132"/>
    </row>
    <row r="61" spans="29:37">
      <c r="AC61" s="20"/>
      <c r="AD61" s="20"/>
      <c r="AE61" s="20"/>
      <c r="AF61" s="20"/>
      <c r="AG61" s="20"/>
      <c r="AH61" s="20"/>
      <c r="AI61" s="20"/>
      <c r="AK61" s="132"/>
    </row>
    <row r="62" spans="29:37">
      <c r="AC62" s="54"/>
      <c r="AD62" s="54"/>
      <c r="AE62" s="54"/>
      <c r="AF62" s="54"/>
      <c r="AG62" s="54"/>
      <c r="AH62" s="54"/>
      <c r="AI62" s="20"/>
      <c r="AK62" s="132"/>
    </row>
    <row r="63" spans="29:37">
      <c r="AC63" s="20"/>
      <c r="AD63" s="20"/>
      <c r="AE63" s="161" t="s">
        <v>71</v>
      </c>
      <c r="AF63" s="162"/>
      <c r="AG63" s="163"/>
      <c r="AH63" s="20"/>
      <c r="AI63" s="20"/>
      <c r="AK63" s="132"/>
    </row>
    <row r="64" spans="29:37">
      <c r="AC64" s="20"/>
      <c r="AD64" s="20"/>
      <c r="AE64" s="50" t="s">
        <v>0</v>
      </c>
      <c r="AF64" s="50" t="s">
        <v>1</v>
      </c>
      <c r="AG64" s="50" t="s">
        <v>13</v>
      </c>
      <c r="AH64" s="20"/>
      <c r="AI64" s="20"/>
      <c r="AK64" s="132"/>
    </row>
    <row r="65" spans="29:37">
      <c r="AC65" s="20"/>
      <c r="AD65" s="51" t="str">
        <f>$C$5</f>
        <v>Temperature</v>
      </c>
      <c r="AE65" s="73">
        <v>-1</v>
      </c>
      <c r="AF65" s="6">
        <v>-1</v>
      </c>
      <c r="AG65" s="6">
        <f>$Z$5</f>
        <v>70</v>
      </c>
      <c r="AH65" s="20"/>
      <c r="AI65" s="20"/>
      <c r="AK65" s="132"/>
    </row>
    <row r="66" spans="29:37">
      <c r="AC66" s="20"/>
      <c r="AD66" s="52" t="s">
        <v>72</v>
      </c>
      <c r="AE66" s="73">
        <v>-1</v>
      </c>
      <c r="AF66" s="6">
        <v>1</v>
      </c>
      <c r="AG66" s="6">
        <f>$Z$7</f>
        <v>80</v>
      </c>
      <c r="AH66" s="20"/>
      <c r="AI66" s="20"/>
      <c r="AK66" s="132"/>
    </row>
    <row r="67" spans="29:37">
      <c r="AC67" s="20"/>
      <c r="AD67" s="51" t="str">
        <f>$C$5</f>
        <v>Temperature</v>
      </c>
      <c r="AE67" s="73">
        <v>1</v>
      </c>
      <c r="AF67" s="6">
        <v>-1</v>
      </c>
      <c r="AG67" s="6">
        <f>$Z$6</f>
        <v>74</v>
      </c>
      <c r="AH67" s="20"/>
      <c r="AI67" s="20"/>
      <c r="AK67" s="132"/>
    </row>
    <row r="68" spans="29:37">
      <c r="AC68" s="20"/>
      <c r="AD68" s="52" t="s">
        <v>76</v>
      </c>
      <c r="AE68" s="73">
        <v>1</v>
      </c>
      <c r="AF68" s="6">
        <v>1</v>
      </c>
      <c r="AG68" s="6">
        <f>$Z$8</f>
        <v>82</v>
      </c>
      <c r="AH68" s="20"/>
      <c r="AI68" s="20"/>
      <c r="AK68" s="132"/>
    </row>
    <row r="69" spans="29:37">
      <c r="AC69" s="20"/>
      <c r="AD69" s="20"/>
      <c r="AE69" s="20"/>
      <c r="AF69" s="20"/>
      <c r="AG69" s="20"/>
      <c r="AH69" s="20"/>
      <c r="AI69" s="20"/>
      <c r="AK69" s="132"/>
    </row>
    <row r="70" spans="29:37">
      <c r="AC70" s="20"/>
      <c r="AD70" s="20"/>
      <c r="AE70" s="20"/>
      <c r="AF70" s="20"/>
      <c r="AG70" s="20"/>
      <c r="AH70" s="20"/>
      <c r="AI70" s="20"/>
      <c r="AK70" s="132"/>
    </row>
    <row r="71" spans="29:37">
      <c r="AC71" s="20"/>
      <c r="AD71" s="20"/>
      <c r="AE71" s="20"/>
      <c r="AF71" s="20"/>
      <c r="AG71" s="20"/>
      <c r="AH71" s="20"/>
      <c r="AI71" s="20"/>
      <c r="AK71" s="132"/>
    </row>
    <row r="72" spans="29:37">
      <c r="AC72" s="20"/>
      <c r="AD72" s="20"/>
      <c r="AE72" s="20"/>
      <c r="AF72" s="20"/>
      <c r="AG72" s="20"/>
      <c r="AH72" s="20"/>
      <c r="AI72" s="20"/>
      <c r="AK72" s="132"/>
    </row>
    <row r="73" spans="29:37">
      <c r="AC73" s="20"/>
      <c r="AD73" s="20"/>
      <c r="AE73" s="20"/>
      <c r="AF73" s="20"/>
      <c r="AG73" s="20"/>
      <c r="AH73" s="20"/>
      <c r="AI73" s="20"/>
      <c r="AK73" s="132"/>
    </row>
    <row r="74" spans="29:37">
      <c r="AC74" s="20"/>
      <c r="AD74" s="20"/>
      <c r="AE74" s="20"/>
      <c r="AF74" s="20"/>
      <c r="AG74" s="20"/>
      <c r="AH74" s="20"/>
      <c r="AI74" s="20"/>
      <c r="AK74" s="132"/>
    </row>
    <row r="75" spans="29:37">
      <c r="AC75" s="20"/>
      <c r="AD75" s="20"/>
      <c r="AE75" s="20"/>
      <c r="AF75" s="20"/>
      <c r="AG75" s="20"/>
      <c r="AH75" s="20"/>
      <c r="AI75" s="20"/>
      <c r="AK75" s="132"/>
    </row>
    <row r="76" spans="29:37">
      <c r="AC76" s="20"/>
      <c r="AD76" s="20"/>
      <c r="AE76" s="20"/>
      <c r="AF76" s="20"/>
      <c r="AG76" s="20"/>
      <c r="AH76" s="20"/>
      <c r="AI76" s="20"/>
      <c r="AK76" s="132"/>
    </row>
    <row r="77" spans="29:37">
      <c r="AC77" s="20"/>
      <c r="AD77" s="20"/>
      <c r="AE77" s="20"/>
      <c r="AF77" s="20"/>
      <c r="AG77" s="20"/>
      <c r="AH77" s="20"/>
      <c r="AI77" s="20"/>
      <c r="AK77" s="132"/>
    </row>
    <row r="78" spans="29:37">
      <c r="AC78" s="20"/>
      <c r="AD78" s="20"/>
      <c r="AE78" s="20"/>
      <c r="AF78" s="20"/>
      <c r="AG78" s="20"/>
      <c r="AH78" s="20"/>
      <c r="AI78" s="20"/>
      <c r="AK78" s="132"/>
    </row>
    <row r="79" spans="29:37">
      <c r="AC79" s="20"/>
      <c r="AD79" s="20"/>
      <c r="AE79" s="20"/>
      <c r="AF79" s="20"/>
      <c r="AG79" s="20"/>
      <c r="AH79" s="20"/>
      <c r="AI79" s="20"/>
      <c r="AK79" s="132"/>
    </row>
    <row r="80" spans="29:37">
      <c r="AC80" s="20"/>
      <c r="AD80" s="20"/>
      <c r="AE80" s="20"/>
      <c r="AF80" s="20"/>
      <c r="AG80" s="20"/>
      <c r="AH80" s="20"/>
      <c r="AI80" s="20"/>
      <c r="AK80" s="132"/>
    </row>
    <row r="81" spans="29:37">
      <c r="AC81" s="20"/>
      <c r="AD81" s="20"/>
      <c r="AE81" s="20"/>
      <c r="AF81" s="20"/>
      <c r="AG81" s="20"/>
      <c r="AH81" s="20"/>
      <c r="AI81" s="20"/>
      <c r="AK81" s="132"/>
    </row>
    <row r="82" spans="29:37">
      <c r="AC82" s="20"/>
      <c r="AD82" s="20"/>
      <c r="AE82" s="20"/>
      <c r="AF82" s="20"/>
      <c r="AG82" s="20"/>
      <c r="AH82" s="20"/>
      <c r="AI82" s="20"/>
      <c r="AK82" s="132"/>
    </row>
    <row r="83" spans="29:37">
      <c r="AC83" s="20"/>
      <c r="AD83" s="20"/>
      <c r="AE83" s="20"/>
      <c r="AF83" s="20"/>
      <c r="AG83" s="20"/>
      <c r="AH83" s="20"/>
      <c r="AI83" s="20"/>
      <c r="AK83" s="132"/>
    </row>
    <row r="84" spans="29:37">
      <c r="AC84" s="20"/>
      <c r="AD84" s="20"/>
      <c r="AE84" s="20"/>
      <c r="AF84" s="20"/>
      <c r="AG84" s="20"/>
      <c r="AH84" s="20"/>
      <c r="AI84" s="20"/>
      <c r="AK84" s="132"/>
    </row>
    <row r="85" spans="29:37">
      <c r="AC85" s="20"/>
      <c r="AD85" s="20"/>
      <c r="AE85" s="20"/>
      <c r="AF85" s="20"/>
      <c r="AG85" s="20"/>
      <c r="AH85" s="20"/>
      <c r="AI85" s="20"/>
      <c r="AK85" s="132"/>
    </row>
    <row r="86" spans="29:37">
      <c r="AC86" s="20"/>
      <c r="AD86" s="20"/>
      <c r="AE86" s="20"/>
      <c r="AF86" s="20"/>
      <c r="AG86" s="20"/>
      <c r="AH86" s="20"/>
      <c r="AI86" s="20"/>
      <c r="AK86" s="132"/>
    </row>
    <row r="87" spans="29:37">
      <c r="AC87" s="20"/>
      <c r="AD87" s="20"/>
      <c r="AE87" s="20"/>
      <c r="AF87" s="20"/>
      <c r="AG87" s="20"/>
      <c r="AH87" s="20"/>
      <c r="AI87" s="20"/>
      <c r="AK87" s="132"/>
    </row>
    <row r="88" spans="29:37">
      <c r="AC88" s="20"/>
      <c r="AD88" s="20"/>
      <c r="AE88" s="20"/>
      <c r="AF88" s="20"/>
      <c r="AG88" s="20"/>
      <c r="AH88" s="20"/>
      <c r="AI88" s="20"/>
      <c r="AK88" s="132"/>
    </row>
    <row r="89" spans="29:37">
      <c r="AC89" s="20"/>
      <c r="AD89" s="20"/>
      <c r="AE89" s="20"/>
      <c r="AF89" s="20"/>
      <c r="AG89" s="20"/>
      <c r="AH89" s="20"/>
      <c r="AI89" s="20"/>
      <c r="AK89" s="132"/>
    </row>
    <row r="90" spans="29:37">
      <c r="AC90" s="20"/>
      <c r="AD90" s="20"/>
      <c r="AE90" s="20"/>
      <c r="AF90" s="20"/>
      <c r="AG90" s="20"/>
      <c r="AH90" s="20"/>
      <c r="AI90" s="20"/>
      <c r="AK90" s="132"/>
    </row>
  </sheetData>
  <mergeCells count="17">
    <mergeCell ref="AM3:AN3"/>
    <mergeCell ref="M3:N3"/>
    <mergeCell ref="O3:P3"/>
    <mergeCell ref="AE38:AG38"/>
    <mergeCell ref="F3:G3"/>
    <mergeCell ref="K3:L3"/>
    <mergeCell ref="T3:T4"/>
    <mergeCell ref="U3:X3"/>
    <mergeCell ref="AD3:AF3"/>
    <mergeCell ref="K4:L4"/>
    <mergeCell ref="K5:L5"/>
    <mergeCell ref="AD12:AF13"/>
    <mergeCell ref="AE63:AG63"/>
    <mergeCell ref="AM5:AN5"/>
    <mergeCell ref="AM6:AN6"/>
    <mergeCell ref="AM7:AN7"/>
    <mergeCell ref="AM8:AN8"/>
  </mergeCells>
  <conditionalFormatting sqref="AW15:AW17 AQ6:AQ8">
    <cfRule type="cellIs" dxfId="5" priority="4" operator="equal">
      <formula>"signifikant"</formula>
    </cfRule>
  </conditionalFormatting>
  <conditionalFormatting sqref="AW15:AW17">
    <cfRule type="cellIs" dxfId="4" priority="3" operator="equal">
      <formula>1</formula>
    </cfRule>
  </conditionalFormatting>
  <pageMargins left="0.70866141732283472" right="0.70866141732283472" top="0.78740157480314965" bottom="0.78740157480314965" header="0.31496062992125984" footer="0.31496062992125984"/>
  <pageSetup paperSize="9" scale="22" orientation="landscape" verticalDpi="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BZ75"/>
  <sheetViews>
    <sheetView zoomScaleNormal="100" workbookViewId="0"/>
  </sheetViews>
  <sheetFormatPr baseColWidth="10" defaultRowHeight="15"/>
  <cols>
    <col min="1" max="1" width="2.28515625" customWidth="1"/>
    <col min="2" max="2" width="3.5703125" customWidth="1"/>
    <col min="3" max="3" width="20" customWidth="1"/>
    <col min="4" max="4" width="20.42578125" customWidth="1"/>
    <col min="5" max="5" width="15.140625" customWidth="1"/>
    <col min="6" max="6" width="8.85546875" customWidth="1"/>
    <col min="7" max="7" width="11.7109375" customWidth="1"/>
    <col min="8" max="8" width="5.28515625" customWidth="1"/>
    <col min="9" max="9" width="6.7109375" customWidth="1"/>
    <col min="10" max="10" width="13.28515625" customWidth="1"/>
    <col min="11" max="11" width="6.42578125" customWidth="1"/>
    <col min="12" max="12" width="10.140625" customWidth="1"/>
    <col min="13" max="13" width="4.7109375" customWidth="1"/>
    <col min="14" max="14" width="9.140625" customWidth="1"/>
    <col min="15" max="15" width="2.42578125" customWidth="1"/>
    <col min="16" max="16" width="4.42578125" customWidth="1"/>
    <col min="17" max="17" width="8.7109375" customWidth="1"/>
    <col min="18" max="18" width="9.140625" customWidth="1"/>
    <col min="19" max="19" width="7.42578125" customWidth="1"/>
    <col min="20" max="21" width="6.7109375" style="19" customWidth="1"/>
    <col min="22" max="22" width="6.28515625" style="19" customWidth="1"/>
    <col min="23" max="23" width="10.28515625" customWidth="1"/>
    <col min="24" max="24" width="2.42578125" customWidth="1"/>
    <col min="25" max="25" width="3.28515625" customWidth="1"/>
    <col min="26" max="26" width="9.5703125" customWidth="1"/>
    <col min="27" max="27" width="11.42578125" bestFit="1" customWidth="1"/>
    <col min="28" max="28" width="14.28515625" customWidth="1"/>
    <col min="29" max="29" width="13.42578125" customWidth="1"/>
    <col min="30" max="30" width="38.140625" customWidth="1"/>
    <col min="31" max="31" width="2.7109375" customWidth="1"/>
    <col min="32" max="32" width="5" customWidth="1"/>
    <col min="33" max="33" width="12.140625" customWidth="1"/>
    <col min="34" max="34" width="8.42578125" customWidth="1"/>
    <col min="35" max="35" width="3.7109375" customWidth="1"/>
    <col min="36" max="36" width="9.7109375" customWidth="1"/>
    <col min="37" max="37" width="5.28515625" customWidth="1"/>
    <col min="38" max="38" width="11.28515625" customWidth="1"/>
    <col min="39" max="39" width="10.5703125" customWidth="1"/>
    <col min="40" max="40" width="13.5703125" customWidth="1"/>
    <col min="41" max="42" width="9.140625" customWidth="1"/>
    <col min="43" max="45" width="3.7109375" customWidth="1"/>
    <col min="46" max="46" width="4" customWidth="1"/>
    <col min="47" max="47" width="5" customWidth="1"/>
    <col min="48" max="48" width="6.42578125" customWidth="1"/>
    <col min="49" max="49" width="5.42578125" customWidth="1"/>
    <col min="50" max="50" width="7.42578125" customWidth="1"/>
    <col min="51" max="51" width="6.7109375" customWidth="1"/>
    <col min="52" max="52" width="6.42578125" customWidth="1"/>
    <col min="53" max="53" width="4.140625" customWidth="1"/>
    <col min="54" max="54" width="6.28515625" customWidth="1"/>
    <col min="55" max="55" width="9.140625" customWidth="1"/>
    <col min="56" max="56" width="7.7109375" customWidth="1"/>
    <col min="57" max="57" width="9.7109375" customWidth="1"/>
    <col min="58" max="58" width="8.7109375" customWidth="1"/>
    <col min="59" max="59" width="7.5703125" customWidth="1"/>
    <col min="60" max="61" width="4.28515625" customWidth="1"/>
    <col min="62" max="62" width="8.7109375" customWidth="1"/>
    <col min="63" max="63" width="3.42578125" customWidth="1"/>
    <col min="64" max="64" width="8.7109375" customWidth="1"/>
    <col min="65" max="65" width="3.28515625" customWidth="1"/>
    <col min="66" max="66" width="11" customWidth="1"/>
    <col min="67" max="68" width="3.42578125" customWidth="1"/>
    <col min="69" max="69" width="19" customWidth="1"/>
    <col min="70" max="70" width="16" customWidth="1"/>
    <col min="71" max="71" width="13.5703125" bestFit="1" customWidth="1"/>
    <col min="78" max="78" width="4.28515625" customWidth="1"/>
  </cols>
  <sheetData>
    <row r="1" spans="1:78" ht="15.75">
      <c r="A1" s="70"/>
      <c r="B1" s="70"/>
      <c r="C1" s="72" t="str">
        <f>'Prod Quant Chem Reactor'!C1</f>
        <v>Input of factors and levels</v>
      </c>
      <c r="D1" s="70"/>
      <c r="E1" s="70"/>
      <c r="F1" s="70"/>
      <c r="G1" s="70"/>
      <c r="H1" s="70"/>
      <c r="I1" s="72" t="str">
        <f>'Prod Quant Chem Reactor'!K1</f>
        <v>Input of test results</v>
      </c>
      <c r="J1" s="70"/>
      <c r="K1" s="70"/>
      <c r="L1" s="70"/>
      <c r="M1" s="70"/>
      <c r="N1" s="70"/>
      <c r="P1" s="71"/>
      <c r="Q1" s="72" t="str">
        <f>'Prod Quant Chem Reactor'!T1</f>
        <v>Calculation scheme of effects</v>
      </c>
      <c r="R1" s="71"/>
      <c r="S1" s="71"/>
      <c r="T1" s="71"/>
      <c r="U1" s="71"/>
      <c r="V1" s="71"/>
      <c r="W1" s="71"/>
      <c r="X1" s="71"/>
      <c r="Y1" s="71"/>
      <c r="Z1" s="71"/>
      <c r="AA1" s="71"/>
      <c r="AB1" s="71"/>
      <c r="AC1" s="71"/>
      <c r="AD1" s="71"/>
      <c r="AE1" s="33"/>
      <c r="AF1" s="72"/>
      <c r="AG1" s="72" t="str">
        <f>'Prod Quant Chem Reactor'!AL1</f>
        <v xml:space="preserve">Significance of effects and interaction: ANOVA </v>
      </c>
      <c r="AH1" s="72"/>
      <c r="AI1" s="72"/>
      <c r="AJ1" s="72"/>
      <c r="AK1" s="72"/>
      <c r="AL1" s="72"/>
      <c r="AM1" s="72"/>
      <c r="AN1" s="72"/>
      <c r="AO1" s="72"/>
      <c r="AP1" s="72"/>
      <c r="AQ1" s="72"/>
      <c r="AR1" s="128"/>
      <c r="AS1" s="133" t="str">
        <f>'Prod Quant Chem Reactor'!AV1</f>
        <v>Predictive function</v>
      </c>
      <c r="AT1" s="72"/>
      <c r="AU1" s="72"/>
      <c r="AV1" s="72"/>
      <c r="AW1" s="72"/>
      <c r="AX1" s="72"/>
      <c r="AY1" s="72"/>
      <c r="AZ1" s="72"/>
      <c r="BA1" s="72"/>
      <c r="BB1" s="72"/>
      <c r="BC1" s="72"/>
      <c r="BD1" s="72"/>
      <c r="BE1" s="72"/>
      <c r="BF1" s="72"/>
      <c r="BG1" s="72"/>
      <c r="BH1" s="72"/>
      <c r="BI1" s="72"/>
      <c r="BJ1" s="72"/>
      <c r="BK1" s="72"/>
      <c r="BL1" s="72"/>
      <c r="BM1" s="72"/>
      <c r="BN1" s="72"/>
      <c r="BO1" s="72"/>
      <c r="BP1" s="114"/>
      <c r="BQ1" s="131" t="s">
        <v>103</v>
      </c>
      <c r="BR1" s="72"/>
      <c r="BS1" s="107">
        <f>SQRT(2)</f>
        <v>1.4142135623730951</v>
      </c>
      <c r="BT1" s="107"/>
      <c r="BU1" s="107"/>
    </row>
    <row r="2" spans="1:78">
      <c r="A2" s="20"/>
      <c r="B2" s="20"/>
      <c r="C2" s="20"/>
      <c r="D2" s="20"/>
      <c r="E2" s="20"/>
      <c r="F2" s="20"/>
      <c r="G2" s="20"/>
      <c r="H2" s="20"/>
      <c r="I2" s="20"/>
      <c r="J2" s="20"/>
      <c r="K2" s="20"/>
      <c r="L2" s="20"/>
      <c r="M2" s="20"/>
      <c r="N2" s="20"/>
      <c r="P2" s="20"/>
      <c r="Q2" s="20"/>
      <c r="R2" s="20"/>
      <c r="S2" s="20"/>
      <c r="T2" s="20"/>
      <c r="U2" s="20"/>
      <c r="V2" s="20"/>
      <c r="W2" s="20"/>
      <c r="X2" s="20"/>
      <c r="Y2" s="20"/>
      <c r="Z2" s="20"/>
      <c r="AA2" s="20"/>
      <c r="AB2" s="20"/>
      <c r="AC2" s="20"/>
      <c r="AD2" s="20"/>
      <c r="AE2" s="33"/>
      <c r="AF2" s="20"/>
      <c r="AG2" s="20"/>
      <c r="AH2" s="20"/>
      <c r="AI2" s="20"/>
      <c r="AJ2" s="20"/>
      <c r="AK2" s="20"/>
      <c r="AL2" s="20"/>
      <c r="AM2" s="20"/>
      <c r="AN2" s="20"/>
      <c r="AO2" s="20"/>
      <c r="AP2" s="20"/>
      <c r="AQ2" s="20"/>
      <c r="AR2" s="33"/>
      <c r="AS2" s="132"/>
      <c r="AT2" s="20"/>
      <c r="AU2" s="20"/>
      <c r="AV2" s="20"/>
      <c r="AW2" s="20"/>
      <c r="AX2" s="20"/>
      <c r="AY2" s="20"/>
      <c r="AZ2" s="20"/>
      <c r="BA2" s="20"/>
      <c r="BB2" s="20"/>
      <c r="BC2" s="20"/>
      <c r="BD2" s="20"/>
      <c r="BE2" s="20"/>
      <c r="BF2" s="20"/>
      <c r="BG2" s="20"/>
      <c r="BH2" s="20"/>
      <c r="BI2" s="20"/>
      <c r="BJ2" s="20"/>
      <c r="BK2" s="20"/>
      <c r="BL2" s="20"/>
      <c r="BM2" s="20"/>
      <c r="BN2" s="20"/>
      <c r="BO2" s="20"/>
      <c r="BP2" s="114"/>
      <c r="BQ2" s="20"/>
      <c r="BR2" s="20"/>
      <c r="BS2" s="20"/>
      <c r="BT2" s="132"/>
      <c r="BU2" s="20"/>
    </row>
    <row r="3" spans="1:78" ht="18" customHeight="1">
      <c r="A3" s="20"/>
      <c r="B3" s="20"/>
      <c r="C3" s="101" t="str">
        <f>'Prod Quant Chem Reactor'!C3</f>
        <v>Response:</v>
      </c>
      <c r="D3" s="120" t="s">
        <v>56</v>
      </c>
      <c r="E3" s="123" t="s">
        <v>57</v>
      </c>
      <c r="F3" s="202" t="str">
        <f>'Prod Quant Chem Reactor'!F3:G3</f>
        <v>Factor levels</v>
      </c>
      <c r="G3" s="174"/>
      <c r="H3" s="20"/>
      <c r="I3" s="175" t="str">
        <f>'Prod Quant Chem Reactor'!K3</f>
        <v>Test results:</v>
      </c>
      <c r="J3" s="176"/>
      <c r="K3" s="203" t="str">
        <f>D3</f>
        <v>Yield</v>
      </c>
      <c r="L3" s="203"/>
      <c r="M3" s="171" t="str">
        <f>E3</f>
        <v>[%]</v>
      </c>
      <c r="N3" s="172"/>
      <c r="P3" s="20"/>
      <c r="Q3" s="177" t="str">
        <f>'Prod Quant Chem Reactor'!T3:T4</f>
        <v>Run</v>
      </c>
      <c r="R3" s="179" t="str">
        <f>'Prod Quant Chem Reactor'!U3</f>
        <v>Signs of effects</v>
      </c>
      <c r="S3" s="180"/>
      <c r="T3" s="180"/>
      <c r="U3" s="181"/>
      <c r="V3" s="20"/>
      <c r="W3" s="20"/>
      <c r="X3" s="20"/>
      <c r="Y3" s="20"/>
      <c r="Z3" s="179" t="str">
        <f>'Prod Quant Chem Reactor'!AD3</f>
        <v>Calculation of effects</v>
      </c>
      <c r="AA3" s="180"/>
      <c r="AB3" s="181"/>
      <c r="AC3" s="20"/>
      <c r="AD3" s="20"/>
      <c r="AE3" s="33"/>
      <c r="AF3" s="20"/>
      <c r="AG3" s="192" t="str">
        <f>'Prod Quant Chem Reactor'!AM3</f>
        <v>Effects</v>
      </c>
      <c r="AH3" s="192"/>
      <c r="AI3" s="192"/>
      <c r="AJ3" s="44" t="s">
        <v>54</v>
      </c>
      <c r="AK3" s="20"/>
      <c r="AL3" s="20"/>
      <c r="AM3" s="20"/>
      <c r="AN3" s="20"/>
      <c r="AO3" s="20"/>
      <c r="AP3" s="20"/>
      <c r="AQ3" s="20"/>
      <c r="AR3" s="33"/>
      <c r="AS3" s="132"/>
      <c r="AT3" s="20"/>
      <c r="AU3" s="20"/>
      <c r="AV3" s="20"/>
      <c r="AW3" s="20"/>
      <c r="AX3" s="20"/>
      <c r="AY3" s="20"/>
      <c r="AZ3" s="20"/>
      <c r="BA3" s="20"/>
      <c r="BB3" s="20"/>
      <c r="BC3" s="20"/>
      <c r="BD3" s="20"/>
      <c r="BE3" s="20"/>
      <c r="BF3" s="20"/>
      <c r="BG3" s="20"/>
      <c r="BH3" s="20"/>
      <c r="BI3" s="20"/>
      <c r="BJ3" s="20"/>
      <c r="BK3" s="20"/>
      <c r="BL3" s="20"/>
      <c r="BM3" s="20"/>
      <c r="BN3" s="20"/>
      <c r="BO3" s="20"/>
      <c r="BP3" s="114"/>
      <c r="BQ3" s="20"/>
      <c r="BR3" s="204" t="s">
        <v>104</v>
      </c>
      <c r="BS3" s="109" t="s">
        <v>105</v>
      </c>
      <c r="BT3" s="110"/>
      <c r="BU3" s="108"/>
    </row>
    <row r="4" spans="1:78" ht="18">
      <c r="A4" s="20"/>
      <c r="B4" s="20"/>
      <c r="C4" s="103" t="str">
        <f>'Prod Quant Chem Reactor'!C4</f>
        <v>Factor</v>
      </c>
      <c r="D4" s="103" t="str">
        <f>'Prod Quant Chem Reactor'!D4</f>
        <v>Measurement unit</v>
      </c>
      <c r="E4" s="103" t="str">
        <f>'Prod Quant Chem Reactor'!E4</f>
        <v>Factor type</v>
      </c>
      <c r="F4" s="103" t="str">
        <f>'Prod Quant Chem Reactor'!F4</f>
        <v>low</v>
      </c>
      <c r="G4" s="103" t="str">
        <f>'Prod Quant Chem Reactor'!G4</f>
        <v>high</v>
      </c>
      <c r="H4" s="20"/>
      <c r="I4" s="205" t="str">
        <f>B6</f>
        <v>B</v>
      </c>
      <c r="J4" s="206"/>
      <c r="K4" s="98" t="str">
        <f>B5</f>
        <v>A</v>
      </c>
      <c r="L4" s="62" t="str">
        <f>C5</f>
        <v>Temperature</v>
      </c>
      <c r="M4" s="62"/>
      <c r="N4" s="63"/>
      <c r="P4" s="20"/>
      <c r="Q4" s="178"/>
      <c r="R4" s="4" t="s">
        <v>6</v>
      </c>
      <c r="S4" s="4" t="s">
        <v>0</v>
      </c>
      <c r="T4" s="4" t="s">
        <v>1</v>
      </c>
      <c r="U4" s="4" t="s">
        <v>2</v>
      </c>
      <c r="V4" s="20"/>
      <c r="W4" s="2" t="str">
        <f>'Prod Quant Chem Reactor'!Z4</f>
        <v>Response</v>
      </c>
      <c r="X4" s="20"/>
      <c r="Y4" s="20"/>
      <c r="Z4" s="4" t="s">
        <v>0</v>
      </c>
      <c r="AA4" s="4" t="s">
        <v>1</v>
      </c>
      <c r="AB4" s="4" t="s">
        <v>2</v>
      </c>
      <c r="AC4" s="20"/>
      <c r="AD4" s="20"/>
      <c r="AE4" s="33"/>
      <c r="AF4" s="20"/>
      <c r="AG4" s="78" t="str">
        <f>'Prod Quant Chem Reactor'!AL4</f>
        <v>Factor</v>
      </c>
      <c r="AH4" s="78" t="str">
        <f>D3</f>
        <v>Yield</v>
      </c>
      <c r="AI4" s="80" t="str">
        <f>E3</f>
        <v>[%]</v>
      </c>
      <c r="AJ4" s="45" t="s">
        <v>61</v>
      </c>
      <c r="AK4" s="20"/>
      <c r="AL4" s="116" t="s">
        <v>8</v>
      </c>
      <c r="AM4" s="8" t="s">
        <v>9</v>
      </c>
      <c r="AN4" s="207" t="str">
        <f>'Prod Quant Chem Reactor'!AQ4</f>
        <v>F-test result</v>
      </c>
      <c r="AO4" s="208"/>
      <c r="AP4" s="119" t="str">
        <f>'Prod Quant Chem Reactor'!AR4</f>
        <v>p-value</v>
      </c>
      <c r="AQ4" s="20"/>
      <c r="AR4" s="33"/>
      <c r="AS4" s="132"/>
      <c r="AT4" s="20"/>
      <c r="AU4" s="20"/>
      <c r="AV4" s="20"/>
      <c r="AW4" s="20"/>
      <c r="AX4" s="20"/>
      <c r="AY4" s="23" t="s">
        <v>20</v>
      </c>
      <c r="AZ4" s="31"/>
      <c r="BA4" s="31"/>
      <c r="BB4" s="31"/>
      <c r="BC4" s="31"/>
      <c r="BD4" s="31"/>
      <c r="BE4" s="31"/>
      <c r="BF4" s="31"/>
      <c r="BG4" s="31"/>
      <c r="BH4" s="31"/>
      <c r="BI4" s="31"/>
      <c r="BJ4" s="31"/>
      <c r="BK4" s="31"/>
      <c r="BL4" s="31"/>
      <c r="BM4" s="28" t="s">
        <v>12</v>
      </c>
      <c r="BN4" s="13">
        <f>$AJ$5</f>
        <v>77.844999999999999</v>
      </c>
      <c r="BO4" s="20"/>
      <c r="BP4" s="114"/>
      <c r="BQ4" s="20"/>
      <c r="BR4" s="178"/>
      <c r="BS4" s="112" t="s">
        <v>47</v>
      </c>
      <c r="BT4" s="112" t="s">
        <v>48</v>
      </c>
      <c r="BU4" s="102" t="s">
        <v>44</v>
      </c>
    </row>
    <row r="5" spans="1:78" ht="15" customHeight="1">
      <c r="A5" s="20"/>
      <c r="B5" s="101" t="s">
        <v>0</v>
      </c>
      <c r="C5" s="122" t="s">
        <v>49</v>
      </c>
      <c r="D5" s="122" t="s">
        <v>86</v>
      </c>
      <c r="E5" s="122" t="s">
        <v>50</v>
      </c>
      <c r="F5" s="122">
        <v>100</v>
      </c>
      <c r="G5" s="122">
        <v>140</v>
      </c>
      <c r="H5" s="20"/>
      <c r="I5" s="209" t="str">
        <f>C6</f>
        <v>Pressure</v>
      </c>
      <c r="J5" s="210"/>
      <c r="K5" s="36">
        <f>F5</f>
        <v>100</v>
      </c>
      <c r="L5" s="34" t="s">
        <v>23</v>
      </c>
      <c r="M5" s="35">
        <f>G5</f>
        <v>140</v>
      </c>
      <c r="N5" s="34" t="s">
        <v>24</v>
      </c>
      <c r="P5" s="20"/>
      <c r="Q5" s="5" t="s">
        <v>7</v>
      </c>
      <c r="R5" s="6">
        <v>1</v>
      </c>
      <c r="S5" s="6">
        <f>-1</f>
        <v>-1</v>
      </c>
      <c r="T5" s="6">
        <f>-1</f>
        <v>-1</v>
      </c>
      <c r="U5" s="6">
        <f>PRODUCT(S5,T5)</f>
        <v>1</v>
      </c>
      <c r="V5" s="20"/>
      <c r="W5" s="21">
        <f>$L$6</f>
        <v>79.62</v>
      </c>
      <c r="X5" s="20"/>
      <c r="Y5" s="20"/>
      <c r="Z5" s="6">
        <f>$S5*$W5</f>
        <v>-79.62</v>
      </c>
      <c r="AA5" s="6">
        <f>$T5*$W5</f>
        <v>-79.62</v>
      </c>
      <c r="AB5" s="6">
        <f>$U5*$W5</f>
        <v>79.62</v>
      </c>
      <c r="AC5" s="20"/>
      <c r="AD5" s="20"/>
      <c r="AE5" s="33"/>
      <c r="AF5" s="20"/>
      <c r="AG5" s="1"/>
      <c r="AH5" s="211"/>
      <c r="AI5" s="212"/>
      <c r="AJ5" s="46">
        <f>W9</f>
        <v>77.844999999999999</v>
      </c>
      <c r="AK5" s="20"/>
      <c r="AL5" s="1"/>
      <c r="AM5" s="1"/>
      <c r="AN5" s="6"/>
      <c r="AO5" s="43"/>
      <c r="AP5" s="91"/>
      <c r="AQ5" s="20"/>
      <c r="AR5" s="33"/>
      <c r="AS5" s="132"/>
      <c r="AT5" s="20"/>
      <c r="AU5" s="1" t="str">
        <f>'Prod Quant Chem Reactor'!AY5</f>
        <v>Levels</v>
      </c>
      <c r="AV5" s="1"/>
      <c r="AW5" s="20"/>
      <c r="AX5" s="20"/>
      <c r="AY5" s="23" t="s">
        <v>14</v>
      </c>
      <c r="AZ5" s="24" t="s">
        <v>11</v>
      </c>
      <c r="BA5" s="24" t="s">
        <v>15</v>
      </c>
      <c r="BB5" s="25"/>
      <c r="BC5" s="25"/>
      <c r="BD5" s="25"/>
      <c r="BE5" s="25"/>
      <c r="BF5" s="25"/>
      <c r="BG5" s="25"/>
      <c r="BH5" s="25"/>
      <c r="BI5" s="24"/>
      <c r="BJ5" s="26">
        <f>$AJ$6</f>
        <v>0.71499999999999986</v>
      </c>
      <c r="BK5" s="24" t="s">
        <v>11</v>
      </c>
      <c r="BL5" s="27">
        <f>$AV$6</f>
        <v>0</v>
      </c>
      <c r="BM5" s="28" t="s">
        <v>12</v>
      </c>
      <c r="BN5" s="13">
        <f>BJ5*BL5*$AO6</f>
        <v>0</v>
      </c>
      <c r="BO5" s="20"/>
      <c r="BP5" s="114"/>
      <c r="BQ5" s="112" t="str">
        <f>CONCATENATE(C5," ",B5," ","[",D5,"]")</f>
        <v>Temperature A [°C]</v>
      </c>
      <c r="BR5" s="111">
        <f>($G$5+$F$5)/2</f>
        <v>120</v>
      </c>
      <c r="BS5" s="111">
        <f>F5-$BU5</f>
        <v>71.715728752538098</v>
      </c>
      <c r="BT5" s="111">
        <f>G5+$BU5</f>
        <v>168.2842712474619</v>
      </c>
      <c r="BU5" s="111">
        <f>($G$5-$F$5)/2*$BS$1</f>
        <v>28.284271247461902</v>
      </c>
    </row>
    <row r="6" spans="1:78" ht="18">
      <c r="A6" s="20"/>
      <c r="B6" s="101" t="s">
        <v>1</v>
      </c>
      <c r="C6" s="122" t="s">
        <v>58</v>
      </c>
      <c r="D6" s="136" t="s">
        <v>87</v>
      </c>
      <c r="E6" s="122" t="s">
        <v>50</v>
      </c>
      <c r="F6" s="136">
        <v>1.5</v>
      </c>
      <c r="G6" s="136">
        <v>2.5</v>
      </c>
      <c r="H6" s="20"/>
      <c r="I6" s="38">
        <f>F6</f>
        <v>1.5</v>
      </c>
      <c r="J6" s="99" t="s">
        <v>23</v>
      </c>
      <c r="K6" s="100" t="s">
        <v>7</v>
      </c>
      <c r="L6" s="3">
        <v>79.62</v>
      </c>
      <c r="M6" s="100" t="s">
        <v>3</v>
      </c>
      <c r="N6" s="3">
        <v>77.48</v>
      </c>
      <c r="P6" s="20"/>
      <c r="Q6" s="4" t="s">
        <v>3</v>
      </c>
      <c r="R6" s="6">
        <v>1</v>
      </c>
      <c r="S6" s="6">
        <v>1</v>
      </c>
      <c r="T6" s="6">
        <f>-1</f>
        <v>-1</v>
      </c>
      <c r="U6" s="6">
        <f t="shared" ref="U6:U7" si="0">PRODUCT(S6:T6)</f>
        <v>-1</v>
      </c>
      <c r="V6" s="20"/>
      <c r="W6" s="21">
        <f>$N$6</f>
        <v>77.48</v>
      </c>
      <c r="X6" s="20"/>
      <c r="Y6" s="20"/>
      <c r="Z6" s="6">
        <f>$S6*$W6</f>
        <v>77.48</v>
      </c>
      <c r="AA6" s="6">
        <f>$T6*$W6</f>
        <v>-77.48</v>
      </c>
      <c r="AB6" s="6">
        <f>$U6*$W6</f>
        <v>-77.48</v>
      </c>
      <c r="AC6" s="20"/>
      <c r="AD6" s="20"/>
      <c r="AE6" s="33"/>
      <c r="AF6" s="20"/>
      <c r="AG6" s="7" t="s">
        <v>0</v>
      </c>
      <c r="AH6" s="193">
        <f>Z9</f>
        <v>1.4299999999999997</v>
      </c>
      <c r="AI6" s="194"/>
      <c r="AJ6" s="16">
        <f t="shared" ref="AJ6:AJ8" si="1">AH6/2</f>
        <v>0.71499999999999986</v>
      </c>
      <c r="AK6" s="20"/>
      <c r="AL6" s="15">
        <f>AH6^2</f>
        <v>2.0448999999999993</v>
      </c>
      <c r="AM6" s="14">
        <f>AL6/$AM$12</f>
        <v>6.1346999999999978</v>
      </c>
      <c r="AN6" s="6" t="str">
        <f>IF($AM6&gt;$AM$15,$AN$22,$AN$23)</f>
        <v>not significant</v>
      </c>
      <c r="AO6" s="6">
        <f>IF($AM6&gt;$AM$15,1,0)</f>
        <v>0</v>
      </c>
      <c r="AP6" s="127">
        <f>FDIST(AM6,1,$AJ$13)</f>
        <v>8.9520661286539641E-2</v>
      </c>
      <c r="AQ6" s="20"/>
      <c r="AR6" s="33"/>
      <c r="AS6" s="132"/>
      <c r="AT6" s="1" t="s">
        <v>0</v>
      </c>
      <c r="AU6" s="10">
        <v>120</v>
      </c>
      <c r="AV6" s="18">
        <f>(AU6-AVERAGE(F5:G5))/(G5-F5)*2</f>
        <v>0</v>
      </c>
      <c r="AW6" s="17" t="s">
        <v>21</v>
      </c>
      <c r="AX6" s="20"/>
      <c r="AY6" s="23" t="s">
        <v>16</v>
      </c>
      <c r="AZ6" s="24" t="s">
        <v>11</v>
      </c>
      <c r="BA6" s="24" t="s">
        <v>18</v>
      </c>
      <c r="BB6" s="25"/>
      <c r="BC6" s="25"/>
      <c r="BD6" s="25"/>
      <c r="BE6" s="25"/>
      <c r="BF6" s="25"/>
      <c r="BG6" s="25"/>
      <c r="BH6" s="25"/>
      <c r="BI6" s="24"/>
      <c r="BJ6" s="26">
        <f>$AJ$7</f>
        <v>-0.7050000000000054</v>
      </c>
      <c r="BK6" s="24" t="s">
        <v>11</v>
      </c>
      <c r="BL6" s="27">
        <f>$AV$7</f>
        <v>50</v>
      </c>
      <c r="BM6" s="28" t="s">
        <v>12</v>
      </c>
      <c r="BN6" s="13">
        <f>BJ6*BL6*$AO7</f>
        <v>0</v>
      </c>
      <c r="BO6" s="20"/>
      <c r="BP6" s="114"/>
      <c r="BQ6" s="5" t="str">
        <f>CONCATENATE(C6," ",B6," ","[",D6,"]")</f>
        <v>Pressure B [bar]</v>
      </c>
      <c r="BR6" s="111">
        <f>($G$6+$F$6)/2</f>
        <v>2</v>
      </c>
      <c r="BS6" s="111">
        <f>F6-$BU6</f>
        <v>0.79289321881345243</v>
      </c>
      <c r="BT6" s="111">
        <f>G6+$BU6</f>
        <v>3.2071067811865475</v>
      </c>
      <c r="BU6" s="111">
        <f>($G$6-$F$6)/2*$BS$1</f>
        <v>0.70710678118654757</v>
      </c>
    </row>
    <row r="7" spans="1:78" ht="18">
      <c r="A7" s="20"/>
      <c r="B7" s="20"/>
      <c r="C7" s="20"/>
      <c r="D7" s="20"/>
      <c r="E7" s="20"/>
      <c r="F7" s="132"/>
      <c r="G7" s="132"/>
      <c r="H7" s="20"/>
      <c r="I7" s="38">
        <f>G6</f>
        <v>2.5</v>
      </c>
      <c r="J7" s="99" t="s">
        <v>24</v>
      </c>
      <c r="K7" s="100" t="s">
        <v>4</v>
      </c>
      <c r="L7" s="3">
        <v>74.64</v>
      </c>
      <c r="M7" s="100" t="s">
        <v>5</v>
      </c>
      <c r="N7" s="3">
        <v>79.64</v>
      </c>
      <c r="P7" s="20"/>
      <c r="Q7" s="4" t="s">
        <v>4</v>
      </c>
      <c r="R7" s="6">
        <v>1</v>
      </c>
      <c r="S7" s="6">
        <f>-1</f>
        <v>-1</v>
      </c>
      <c r="T7" s="6">
        <v>1</v>
      </c>
      <c r="U7" s="6">
        <f t="shared" si="0"/>
        <v>-1</v>
      </c>
      <c r="V7" s="20"/>
      <c r="W7" s="21">
        <f>$L$7</f>
        <v>74.64</v>
      </c>
      <c r="X7" s="20"/>
      <c r="Y7" s="20"/>
      <c r="Z7" s="6">
        <f>$S7*$W7</f>
        <v>-74.64</v>
      </c>
      <c r="AA7" s="6">
        <f>$T7*$W7</f>
        <v>74.64</v>
      </c>
      <c r="AB7" s="6">
        <f>$U7*$W7</f>
        <v>-74.64</v>
      </c>
      <c r="AC7" s="20"/>
      <c r="AD7" s="20"/>
      <c r="AE7" s="33"/>
      <c r="AF7" s="20"/>
      <c r="AG7" s="7" t="s">
        <v>1</v>
      </c>
      <c r="AH7" s="193">
        <f>AA9</f>
        <v>-1.4100000000000108</v>
      </c>
      <c r="AI7" s="194"/>
      <c r="AJ7" s="16">
        <f t="shared" si="1"/>
        <v>-0.7050000000000054</v>
      </c>
      <c r="AK7" s="20"/>
      <c r="AL7" s="15">
        <f t="shared" ref="AL7:AL8" si="2">AH7^2</f>
        <v>1.9881000000000304</v>
      </c>
      <c r="AM7" s="14">
        <f>AL7/$AM$12</f>
        <v>5.9643000000000912</v>
      </c>
      <c r="AN7" s="6" t="str">
        <f t="shared" ref="AN7:AN8" si="3">IF($AM7&gt;$AM$15,$AN$22,$AN$23)</f>
        <v>not significant</v>
      </c>
      <c r="AO7" s="6">
        <f>IF($AM7&gt;$AM$15,1,0)</f>
        <v>0</v>
      </c>
      <c r="AP7" s="127">
        <f t="shared" ref="AP7:AP8" si="4">FDIST(AM7,1,$AJ$13)</f>
        <v>9.231958556728076E-2</v>
      </c>
      <c r="AQ7" s="20"/>
      <c r="AR7" s="33"/>
      <c r="AS7" s="132"/>
      <c r="AT7" s="1" t="s">
        <v>1</v>
      </c>
      <c r="AU7" s="10">
        <v>27</v>
      </c>
      <c r="AV7" s="18">
        <f>(AU7-AVERAGE(F6:G6))/(G6-F6)*2</f>
        <v>50</v>
      </c>
      <c r="AW7" s="17" t="s">
        <v>22</v>
      </c>
      <c r="AX7" s="20"/>
      <c r="AY7" s="29" t="s">
        <v>17</v>
      </c>
      <c r="AZ7" s="30" t="s">
        <v>11</v>
      </c>
      <c r="BA7" s="30" t="s">
        <v>19</v>
      </c>
      <c r="BB7" s="31" t="s">
        <v>11</v>
      </c>
      <c r="BC7" s="31" t="s">
        <v>18</v>
      </c>
      <c r="BD7" s="31"/>
      <c r="BE7" s="31"/>
      <c r="BF7" s="31"/>
      <c r="BG7" s="31"/>
      <c r="BH7" s="31">
        <f>$AJ$8</f>
        <v>1.7850000000000001</v>
      </c>
      <c r="BI7" s="30" t="s">
        <v>11</v>
      </c>
      <c r="BJ7" s="32">
        <f>$AV$6</f>
        <v>0</v>
      </c>
      <c r="BK7" s="30" t="s">
        <v>11</v>
      </c>
      <c r="BL7" s="27">
        <f>$AV$7</f>
        <v>50</v>
      </c>
      <c r="BM7" s="28" t="s">
        <v>12</v>
      </c>
      <c r="BN7" s="68">
        <f>BH7*BJ7*BL7*$AO8</f>
        <v>0</v>
      </c>
      <c r="BO7" s="67"/>
      <c r="BP7" s="114"/>
      <c r="BQ7" s="20"/>
      <c r="BR7" s="20"/>
      <c r="BS7" s="20"/>
      <c r="BT7" s="20"/>
      <c r="BU7" s="20"/>
    </row>
    <row r="8" spans="1:78">
      <c r="A8" s="20"/>
      <c r="B8" s="20"/>
      <c r="C8" s="20"/>
      <c r="D8" s="20"/>
      <c r="E8" s="20"/>
      <c r="F8" s="20"/>
      <c r="G8" s="20"/>
      <c r="H8" s="20"/>
      <c r="I8" s="20"/>
      <c r="J8" s="20"/>
      <c r="K8" s="20"/>
      <c r="L8" s="20"/>
      <c r="M8" s="20"/>
      <c r="N8" s="20"/>
      <c r="P8" s="20"/>
      <c r="Q8" s="4" t="s">
        <v>5</v>
      </c>
      <c r="R8" s="6">
        <v>1</v>
      </c>
      <c r="S8" s="6">
        <v>1</v>
      </c>
      <c r="T8" s="6">
        <v>1</v>
      </c>
      <c r="U8" s="6">
        <f>PRODUCT(R8:T8)</f>
        <v>1</v>
      </c>
      <c r="V8" s="20"/>
      <c r="W8" s="21">
        <f>$N$7</f>
        <v>79.64</v>
      </c>
      <c r="X8" s="20"/>
      <c r="Y8" s="20"/>
      <c r="Z8" s="6">
        <f>$S8*$W8</f>
        <v>79.64</v>
      </c>
      <c r="AA8" s="6">
        <f>$T8*$W8</f>
        <v>79.64</v>
      </c>
      <c r="AB8" s="6">
        <f>$U8*$W8</f>
        <v>79.64</v>
      </c>
      <c r="AC8" s="20"/>
      <c r="AD8" s="20"/>
      <c r="AE8" s="33"/>
      <c r="AF8" s="20"/>
      <c r="AG8" s="7" t="s">
        <v>2</v>
      </c>
      <c r="AH8" s="193">
        <f>AB9</f>
        <v>3.5700000000000003</v>
      </c>
      <c r="AI8" s="194"/>
      <c r="AJ8" s="16">
        <f t="shared" si="1"/>
        <v>1.7850000000000001</v>
      </c>
      <c r="AK8" s="20"/>
      <c r="AL8" s="15">
        <f t="shared" si="2"/>
        <v>12.744900000000001</v>
      </c>
      <c r="AM8" s="14">
        <f>AL8/$AM$12</f>
        <v>38.234700000000004</v>
      </c>
      <c r="AN8" s="6" t="str">
        <f t="shared" si="3"/>
        <v>significant</v>
      </c>
      <c r="AO8" s="6">
        <f>IF($AM8&gt;$AM$15,1,0)</f>
        <v>1</v>
      </c>
      <c r="AP8" s="127">
        <f t="shared" si="4"/>
        <v>8.5179078316385097E-3</v>
      </c>
      <c r="AQ8" s="20"/>
      <c r="AR8" s="33"/>
      <c r="AS8" s="132"/>
      <c r="AT8" s="20"/>
      <c r="AU8" s="47" t="s">
        <v>10</v>
      </c>
      <c r="AV8" s="48">
        <f>$AJ$5 +$AJ$6*$AV$6*$AO$6+$AJ$7*$AV$7*$AO$7+$AJ$8*$AV$6*$AV$7*$AO$8</f>
        <v>77.844999999999999</v>
      </c>
      <c r="AW8" s="20"/>
      <c r="AX8" s="20"/>
      <c r="AY8" s="20"/>
      <c r="AZ8" s="20"/>
      <c r="BA8" s="20"/>
      <c r="BB8" s="20"/>
      <c r="BC8" s="20"/>
      <c r="BD8" s="20"/>
      <c r="BE8" s="20"/>
      <c r="BF8" s="20"/>
      <c r="BG8" s="20"/>
      <c r="BH8" s="20"/>
      <c r="BI8" s="20"/>
      <c r="BJ8" s="20"/>
      <c r="BK8" s="20"/>
      <c r="BL8" s="29" t="s">
        <v>13</v>
      </c>
      <c r="BM8" s="49" t="s">
        <v>12</v>
      </c>
      <c r="BN8" s="69">
        <f>SUM(BN4:BN7)</f>
        <v>77.844999999999999</v>
      </c>
      <c r="BO8" s="20"/>
      <c r="BP8" s="114"/>
      <c r="BQ8" s="20"/>
      <c r="BR8" s="20"/>
      <c r="BS8" s="20"/>
      <c r="BT8" s="20"/>
      <c r="BU8" s="20"/>
    </row>
    <row r="9" spans="1:78">
      <c r="A9" s="20"/>
      <c r="B9" s="20"/>
      <c r="C9" s="20"/>
      <c r="D9" s="20"/>
      <c r="E9" s="20"/>
      <c r="F9" s="20"/>
      <c r="G9" s="20"/>
      <c r="H9" s="20"/>
      <c r="I9" s="20"/>
      <c r="J9" s="20"/>
      <c r="K9" s="20"/>
      <c r="L9" s="20"/>
      <c r="M9" s="20"/>
      <c r="N9" s="20"/>
      <c r="P9" s="20"/>
      <c r="Q9" s="20"/>
      <c r="R9" s="20"/>
      <c r="S9" s="20"/>
      <c r="T9" s="20"/>
      <c r="U9" s="20"/>
      <c r="V9" s="20"/>
      <c r="W9" s="74">
        <f>AVERAGE(W5:W8)</f>
        <v>77.844999999999999</v>
      </c>
      <c r="X9" s="20"/>
      <c r="Y9" s="20"/>
      <c r="Z9" s="75">
        <f>SUM(Z5:Z8)/2</f>
        <v>1.4299999999999997</v>
      </c>
      <c r="AA9" s="75">
        <f t="shared" ref="AA9:AB9" si="5">SUM(AA5:AA8)/2</f>
        <v>-1.4100000000000108</v>
      </c>
      <c r="AB9" s="75">
        <f t="shared" si="5"/>
        <v>3.5700000000000003</v>
      </c>
      <c r="AC9" s="20"/>
      <c r="AD9" s="20"/>
      <c r="AE9" s="33"/>
      <c r="AF9" s="20"/>
      <c r="AG9" s="20"/>
      <c r="AH9" s="20"/>
      <c r="AI9" s="20"/>
      <c r="AJ9" s="20"/>
      <c r="AK9" s="20"/>
      <c r="AL9" s="20"/>
      <c r="AM9" s="20"/>
      <c r="AN9" s="20"/>
      <c r="AO9" s="20"/>
      <c r="AP9" s="20"/>
      <c r="AQ9" s="20"/>
      <c r="AR9" s="33"/>
      <c r="AS9" s="132"/>
      <c r="AT9" s="20"/>
      <c r="AU9" s="20"/>
      <c r="AV9" s="20"/>
      <c r="AW9" s="20"/>
      <c r="AX9" s="20"/>
      <c r="AY9" s="20"/>
      <c r="AZ9" s="20"/>
      <c r="BA9" s="20"/>
      <c r="BB9" s="20"/>
      <c r="BC9" s="20"/>
      <c r="BD9" s="20"/>
      <c r="BE9" s="20"/>
      <c r="BF9" s="20"/>
      <c r="BG9" s="20"/>
      <c r="BH9" s="20"/>
      <c r="BI9" s="20"/>
      <c r="BJ9" s="20"/>
      <c r="BK9" s="20"/>
      <c r="BL9" s="20"/>
      <c r="BM9" s="20"/>
      <c r="BN9" s="20"/>
      <c r="BO9" s="20"/>
      <c r="BP9" s="114"/>
      <c r="BQ9" s="20"/>
      <c r="BR9" s="20"/>
      <c r="BS9" s="20"/>
      <c r="BT9" s="20"/>
      <c r="BU9" s="20"/>
    </row>
    <row r="10" spans="1:78">
      <c r="P10" s="20"/>
      <c r="Q10" s="20"/>
      <c r="R10" s="20"/>
      <c r="S10" s="20"/>
      <c r="T10" s="20"/>
      <c r="U10" s="20"/>
      <c r="V10" s="20"/>
      <c r="W10" s="20"/>
      <c r="X10" s="20"/>
      <c r="Y10" s="20"/>
      <c r="Z10" s="124"/>
      <c r="AA10" s="124"/>
      <c r="AB10" s="124"/>
      <c r="AC10" s="20"/>
      <c r="AD10" s="20"/>
      <c r="AE10" s="33"/>
      <c r="AF10" s="20"/>
      <c r="AG10" s="20"/>
      <c r="AH10" s="20"/>
      <c r="AI10" s="20"/>
      <c r="AJ10" s="20"/>
      <c r="AK10" s="20"/>
      <c r="AL10" s="20"/>
      <c r="AM10" s="20"/>
      <c r="AN10" s="20"/>
      <c r="AO10" s="20"/>
      <c r="AP10" s="20"/>
      <c r="AQ10" s="20"/>
      <c r="AR10" s="33"/>
      <c r="AS10" s="132"/>
      <c r="AT10" s="20"/>
      <c r="AU10" s="20"/>
      <c r="AV10" s="20"/>
      <c r="AW10" s="20"/>
      <c r="AX10" s="20"/>
      <c r="AY10" s="114"/>
      <c r="AZ10" s="114"/>
      <c r="BA10" s="114"/>
      <c r="BB10" s="114"/>
      <c r="BC10" s="114"/>
      <c r="BD10" s="114"/>
      <c r="BE10" s="114"/>
      <c r="BF10" s="114"/>
      <c r="BG10" s="114"/>
      <c r="BH10" s="114"/>
      <c r="BI10" s="114"/>
      <c r="BJ10" s="114"/>
      <c r="BK10" s="114"/>
      <c r="BL10" s="114"/>
      <c r="BM10" s="114"/>
      <c r="BN10" s="114"/>
      <c r="BO10" s="114"/>
      <c r="BP10" s="114"/>
      <c r="BQ10" s="114"/>
    </row>
    <row r="11" spans="1:78">
      <c r="P11" s="20"/>
      <c r="Q11" s="20"/>
      <c r="R11" s="20"/>
      <c r="S11" s="20"/>
      <c r="T11" s="20"/>
      <c r="U11" s="20"/>
      <c r="V11" s="20"/>
      <c r="W11" s="20"/>
      <c r="X11" s="20"/>
      <c r="Y11" s="20"/>
      <c r="Z11" s="20"/>
      <c r="AA11" s="20"/>
      <c r="AB11" s="20"/>
      <c r="AC11" s="20"/>
      <c r="AD11" s="20"/>
      <c r="AE11" s="33"/>
      <c r="AF11" s="20"/>
      <c r="AG11" s="20"/>
      <c r="AH11" s="20"/>
      <c r="AI11" s="20"/>
      <c r="AJ11" s="20"/>
      <c r="AK11" s="20"/>
      <c r="AL11" s="20"/>
      <c r="AM11" s="20"/>
      <c r="AN11" s="20"/>
      <c r="AO11" s="20"/>
      <c r="AP11" s="20"/>
      <c r="AQ11" s="20"/>
      <c r="AR11" s="33"/>
      <c r="AS11" s="132"/>
      <c r="AT11" s="20"/>
      <c r="AU11" s="20"/>
      <c r="AV11" s="20"/>
      <c r="AW11" s="20"/>
      <c r="AX11" s="20"/>
      <c r="AY11" s="114"/>
      <c r="AZ11" s="114"/>
      <c r="BA11" s="114"/>
      <c r="BB11" s="114"/>
      <c r="BC11" s="114"/>
      <c r="BD11" s="114"/>
      <c r="BE11" s="114"/>
      <c r="BF11" s="114"/>
      <c r="BG11" s="114"/>
      <c r="BH11" s="114"/>
      <c r="BI11" s="114"/>
      <c r="BJ11" s="114"/>
      <c r="BK11" s="114"/>
      <c r="BL11" s="114"/>
      <c r="BM11" s="114"/>
      <c r="BN11" s="114"/>
      <c r="BO11" s="114"/>
      <c r="BP11" s="114"/>
      <c r="BQ11" s="114"/>
    </row>
    <row r="12" spans="1:78" ht="18" customHeight="1">
      <c r="P12" s="20"/>
      <c r="Q12" s="20"/>
      <c r="R12" s="20"/>
      <c r="S12" s="20"/>
      <c r="T12" s="20"/>
      <c r="U12" s="20"/>
      <c r="V12" s="20"/>
      <c r="W12" s="20"/>
      <c r="X12" s="20"/>
      <c r="Y12" s="20"/>
      <c r="Z12" s="20"/>
      <c r="AA12" s="20"/>
      <c r="AB12" s="20"/>
      <c r="AC12" s="20"/>
      <c r="AD12" s="20"/>
      <c r="AE12" s="33"/>
      <c r="AF12" s="20"/>
      <c r="AG12" s="20"/>
      <c r="AH12" s="20"/>
      <c r="AI12" s="42" t="s">
        <v>25</v>
      </c>
      <c r="AJ12" s="126">
        <v>1</v>
      </c>
      <c r="AK12" s="20"/>
      <c r="AL12" s="182" t="s">
        <v>29</v>
      </c>
      <c r="AM12" s="195">
        <f>AJ12/AJ13</f>
        <v>0.33333333333333331</v>
      </c>
      <c r="AN12" s="20"/>
      <c r="AO12" s="20"/>
      <c r="AP12" s="20"/>
      <c r="AQ12" s="20"/>
      <c r="AR12" s="33"/>
      <c r="AS12" s="132"/>
      <c r="AT12" s="20"/>
      <c r="AU12" s="20"/>
      <c r="AV12" s="20"/>
      <c r="AW12" s="20"/>
      <c r="AX12" s="20"/>
      <c r="AY12" s="114"/>
      <c r="AZ12" s="114"/>
      <c r="BA12" s="114"/>
      <c r="BB12" s="114"/>
      <c r="BC12" s="114"/>
      <c r="BD12" s="114"/>
      <c r="BE12" s="114"/>
      <c r="BF12" s="114"/>
      <c r="BG12" s="114"/>
      <c r="BH12" s="114"/>
      <c r="BI12" s="114"/>
      <c r="BJ12" s="114"/>
      <c r="BK12" s="114"/>
      <c r="BL12" s="114"/>
      <c r="BM12" s="114"/>
      <c r="BN12" s="114"/>
      <c r="BO12" s="114"/>
      <c r="BP12" s="114"/>
      <c r="BQ12" s="114"/>
      <c r="BR12" s="22"/>
      <c r="BZ12" s="22"/>
    </row>
    <row r="13" spans="1:78" ht="15" customHeight="1">
      <c r="P13" s="20"/>
      <c r="Q13" s="20"/>
      <c r="R13" s="20"/>
      <c r="S13" s="20"/>
      <c r="T13" s="20"/>
      <c r="U13" s="20"/>
      <c r="V13" s="20"/>
      <c r="W13" s="20"/>
      <c r="X13" s="20"/>
      <c r="Y13" s="20"/>
      <c r="Z13" s="199" t="s">
        <v>60</v>
      </c>
      <c r="AA13" s="197" t="s">
        <v>59</v>
      </c>
      <c r="AB13" s="198"/>
      <c r="AC13" s="20"/>
      <c r="AD13" s="20"/>
      <c r="AE13" s="33"/>
      <c r="AF13" s="20"/>
      <c r="AG13" s="20"/>
      <c r="AH13" s="20"/>
      <c r="AI13" s="125" t="s">
        <v>26</v>
      </c>
      <c r="AJ13" s="57">
        <v>3</v>
      </c>
      <c r="AK13" s="20"/>
      <c r="AL13" s="184"/>
      <c r="AM13" s="196"/>
      <c r="AN13" s="20"/>
      <c r="AO13" s="20"/>
      <c r="AP13" s="20"/>
      <c r="AQ13" s="20"/>
      <c r="AR13" s="33"/>
      <c r="AS13" s="132"/>
      <c r="AT13" s="20"/>
      <c r="AU13" s="20"/>
      <c r="AV13" s="20"/>
      <c r="AW13" s="20"/>
      <c r="AX13" s="20"/>
      <c r="AY13" s="114"/>
      <c r="AZ13" s="114"/>
      <c r="BA13" s="114"/>
      <c r="BB13" s="114"/>
      <c r="BC13" s="114"/>
      <c r="BD13" s="114"/>
      <c r="BE13" s="114"/>
      <c r="BF13" s="114"/>
      <c r="BG13" s="114"/>
      <c r="BH13" s="114"/>
      <c r="BI13" s="114"/>
      <c r="BJ13" s="114"/>
      <c r="BK13" s="114"/>
      <c r="BL13" s="114"/>
      <c r="BM13" s="114"/>
      <c r="BN13" s="114"/>
      <c r="BO13" s="114"/>
      <c r="BP13" s="114"/>
      <c r="BQ13" s="114"/>
    </row>
    <row r="14" spans="1:78" ht="14.25" customHeight="1">
      <c r="P14" s="20"/>
      <c r="Q14" s="20"/>
      <c r="R14" s="20"/>
      <c r="S14" s="20"/>
      <c r="T14" s="20"/>
      <c r="U14" s="20"/>
      <c r="V14" s="20"/>
      <c r="W14" s="20"/>
      <c r="X14" s="20"/>
      <c r="Y14" s="20"/>
      <c r="Z14" s="200"/>
      <c r="AA14" s="117" t="str">
        <f>Z4</f>
        <v>A</v>
      </c>
      <c r="AB14" s="104" t="str">
        <f>AA4</f>
        <v>B</v>
      </c>
      <c r="AC14" s="20"/>
      <c r="AD14" s="20"/>
      <c r="AE14" s="33"/>
      <c r="AF14" s="20"/>
      <c r="AG14" s="20"/>
      <c r="AH14" s="20"/>
      <c r="AI14" s="20"/>
      <c r="AJ14" s="20"/>
      <c r="AK14" s="20"/>
      <c r="AL14" s="20"/>
      <c r="AM14" s="20"/>
      <c r="AN14" s="20"/>
      <c r="AO14" s="20"/>
      <c r="AP14" s="20"/>
      <c r="AQ14" s="20"/>
      <c r="AR14" s="33"/>
      <c r="AS14" s="132"/>
      <c r="AT14" s="20"/>
      <c r="AU14" s="20"/>
      <c r="AV14" s="20"/>
      <c r="AW14" s="20"/>
      <c r="AX14" s="20"/>
      <c r="AY14" s="114"/>
      <c r="AZ14" s="114"/>
      <c r="BA14" s="114"/>
      <c r="BB14" s="114"/>
      <c r="BC14" s="114"/>
      <c r="BD14" s="114"/>
      <c r="BE14" s="114"/>
      <c r="BF14" s="114"/>
      <c r="BG14" s="114"/>
      <c r="BH14" s="114"/>
      <c r="BI14" s="114"/>
      <c r="BJ14" s="114"/>
      <c r="BK14" s="114"/>
      <c r="BL14" s="114"/>
      <c r="BM14" s="114"/>
      <c r="BN14" s="114"/>
      <c r="BO14" s="114"/>
      <c r="BP14" s="114"/>
      <c r="BQ14" s="114"/>
    </row>
    <row r="15" spans="1:78" ht="18" customHeight="1">
      <c r="Y15" s="20"/>
      <c r="Z15" s="201"/>
      <c r="AA15" s="117" t="str">
        <f>C5</f>
        <v>Temperature</v>
      </c>
      <c r="AB15" s="104" t="str">
        <f>C6</f>
        <v>Pressure</v>
      </c>
      <c r="AC15" s="20"/>
      <c r="AD15" s="20"/>
      <c r="AE15" s="33"/>
      <c r="AF15" s="20"/>
      <c r="AG15" s="20"/>
      <c r="AH15" s="20"/>
      <c r="AI15" s="40" t="s">
        <v>27</v>
      </c>
      <c r="AJ15" s="41">
        <v>0.05</v>
      </c>
      <c r="AK15" s="20"/>
      <c r="AL15" s="42" t="s">
        <v>28</v>
      </c>
      <c r="AM15" s="39">
        <f>FINV(AJ15,1,$AJ$13)</f>
        <v>10.127964486013932</v>
      </c>
      <c r="AN15" s="20"/>
      <c r="AO15" s="20"/>
      <c r="AP15" s="20"/>
      <c r="AQ15" s="20"/>
      <c r="AR15" s="33"/>
      <c r="AS15" s="132"/>
      <c r="AT15" s="20"/>
      <c r="AU15" s="20"/>
      <c r="AV15" s="20"/>
      <c r="AW15" s="20"/>
      <c r="AX15" s="20"/>
      <c r="AY15" s="114"/>
      <c r="AZ15" s="114"/>
      <c r="BA15" s="114"/>
      <c r="BB15" s="114"/>
      <c r="BC15" s="114"/>
      <c r="BD15" s="114"/>
      <c r="BE15" s="114"/>
      <c r="BF15" s="114"/>
      <c r="BG15" s="114"/>
      <c r="BH15" s="114"/>
      <c r="BI15" s="114"/>
      <c r="BJ15" s="114"/>
      <c r="BK15" s="114"/>
      <c r="BL15" s="114"/>
      <c r="BM15" s="114"/>
      <c r="BN15" s="114"/>
      <c r="BO15" s="114"/>
      <c r="BP15" s="114"/>
      <c r="BQ15" s="114"/>
    </row>
    <row r="16" spans="1:78" ht="18">
      <c r="Y16" s="20"/>
      <c r="Z16" s="118" t="s">
        <v>63</v>
      </c>
      <c r="AA16" s="105">
        <f>ABS(SUMIF(Z$5:Z$8,"&lt;0"))/COUNT(Z$5:Z$8)*2</f>
        <v>77.13</v>
      </c>
      <c r="AB16" s="105">
        <f>ABS(SUMIF(AA$5:AA$8,"&lt;0"))/COUNT(AA$5:AA$8)*2</f>
        <v>78.550000000000011</v>
      </c>
      <c r="AC16" s="2">
        <v>-1</v>
      </c>
      <c r="AD16" s="20"/>
      <c r="AE16" s="33"/>
      <c r="AF16" s="20"/>
      <c r="AG16" s="20"/>
      <c r="AH16" s="148" t="s">
        <v>110</v>
      </c>
      <c r="AI16" s="40" t="s">
        <v>27</v>
      </c>
      <c r="AJ16" s="149">
        <v>0.01</v>
      </c>
      <c r="AK16" s="20"/>
      <c r="AL16" s="42" t="s">
        <v>28</v>
      </c>
      <c r="AM16" s="39">
        <f>FINV(AJ16,1,$AJ$13)</f>
        <v>34.116221564529795</v>
      </c>
      <c r="AN16" s="20" t="s">
        <v>40</v>
      </c>
      <c r="AO16" s="20"/>
      <c r="AP16" s="20"/>
      <c r="AQ16" s="20"/>
      <c r="AR16" s="33"/>
      <c r="AS16" s="132"/>
      <c r="AT16" s="20"/>
      <c r="AU16" s="20"/>
      <c r="AV16" s="20"/>
      <c r="AW16" s="20"/>
      <c r="AX16" s="20"/>
      <c r="AY16" s="114"/>
      <c r="AZ16" s="114"/>
      <c r="BA16" s="114"/>
      <c r="BB16" s="114"/>
      <c r="BC16" s="114"/>
      <c r="BD16" s="114"/>
      <c r="BE16" s="114"/>
      <c r="BF16" s="114"/>
      <c r="BG16" s="114"/>
      <c r="BH16" s="114"/>
      <c r="BI16" s="114"/>
      <c r="BJ16" s="114"/>
      <c r="BK16" s="114"/>
      <c r="BL16" s="114"/>
      <c r="BM16" s="114"/>
      <c r="BN16" s="114"/>
      <c r="BO16" s="114"/>
      <c r="BP16" s="114"/>
      <c r="BQ16" s="114"/>
    </row>
    <row r="17" spans="17:69">
      <c r="Y17" s="20"/>
      <c r="Z17" s="104" t="s">
        <v>64</v>
      </c>
      <c r="AA17" s="105">
        <f>SUMIF(Z$5:Z$8,"&gt;0")/COUNT(Z$5:Z$8)*2</f>
        <v>78.56</v>
      </c>
      <c r="AB17" s="105">
        <f>SUMIF(AA$5:AA$8,"&gt;0")/COUNT(AA$5:AA$8)*2</f>
        <v>77.14</v>
      </c>
      <c r="AC17" s="2">
        <v>1</v>
      </c>
      <c r="AD17" s="20"/>
      <c r="AE17" s="33"/>
      <c r="AF17" s="20"/>
      <c r="AG17" s="20"/>
      <c r="AH17" s="20"/>
      <c r="AI17" s="20"/>
      <c r="AJ17" s="20"/>
      <c r="AK17" s="20"/>
      <c r="AL17" s="20"/>
      <c r="AM17" s="20"/>
      <c r="AN17" s="20"/>
      <c r="AO17" s="20"/>
      <c r="AP17" s="20"/>
      <c r="AQ17" s="20"/>
      <c r="AR17" s="33"/>
      <c r="AS17" s="132"/>
      <c r="AT17" s="20"/>
      <c r="AU17" s="20"/>
      <c r="AV17" s="20"/>
      <c r="AW17" s="20"/>
      <c r="AX17" s="20"/>
      <c r="AY17" s="114"/>
      <c r="AZ17" s="114"/>
      <c r="BA17" s="114"/>
      <c r="BB17" s="114"/>
      <c r="BC17" s="114"/>
      <c r="BD17" s="114"/>
      <c r="BE17" s="114"/>
      <c r="BF17" s="114"/>
      <c r="BG17" s="114"/>
      <c r="BH17" s="114"/>
      <c r="BI17" s="114"/>
      <c r="BJ17" s="114"/>
      <c r="BK17" s="114"/>
      <c r="BL17" s="114"/>
      <c r="BM17" s="114"/>
      <c r="BN17" s="114"/>
      <c r="BO17" s="114"/>
      <c r="BP17" s="114"/>
      <c r="BQ17" s="114"/>
    </row>
    <row r="18" spans="17:69">
      <c r="Y18" s="20"/>
      <c r="Z18" s="20"/>
      <c r="AA18" s="20"/>
      <c r="AB18" s="20"/>
      <c r="AC18" s="20"/>
      <c r="AD18" s="20"/>
      <c r="AE18" s="33"/>
      <c r="AF18" s="20"/>
      <c r="AG18" s="20"/>
      <c r="AH18" s="20"/>
      <c r="AI18" s="20"/>
      <c r="AJ18" s="20"/>
      <c r="AK18" s="20"/>
      <c r="AL18" s="20"/>
      <c r="AM18" s="20"/>
      <c r="AN18" s="20"/>
      <c r="AO18" s="20"/>
      <c r="AP18" s="20"/>
      <c r="AQ18" s="20"/>
      <c r="AR18" s="33"/>
      <c r="AS18" s="132"/>
      <c r="AT18" s="20"/>
      <c r="AU18" s="20"/>
      <c r="AV18" s="20"/>
      <c r="AW18" s="20"/>
      <c r="AX18" s="20"/>
      <c r="AY18" s="114"/>
      <c r="AZ18" s="114"/>
      <c r="BA18" s="114"/>
      <c r="BB18" s="114"/>
      <c r="BC18" s="114"/>
      <c r="BD18" s="114"/>
      <c r="BE18" s="114"/>
      <c r="BF18" s="114"/>
      <c r="BG18" s="114"/>
      <c r="BH18" s="114"/>
      <c r="BI18" s="114"/>
      <c r="BJ18" s="114"/>
      <c r="BK18" s="114"/>
      <c r="BL18" s="114"/>
      <c r="BM18" s="114"/>
      <c r="BN18" s="114"/>
      <c r="BO18" s="114"/>
      <c r="BP18" s="114"/>
      <c r="BQ18" s="114"/>
    </row>
    <row r="19" spans="17:69">
      <c r="U19"/>
      <c r="Y19" s="20"/>
      <c r="Z19" s="20"/>
      <c r="AA19" s="20"/>
      <c r="AB19" s="20"/>
      <c r="AC19" s="20"/>
      <c r="AD19" s="20"/>
      <c r="AE19" s="33"/>
      <c r="AF19" s="20"/>
      <c r="AG19" s="20"/>
      <c r="AH19" s="20"/>
      <c r="AI19" s="20"/>
      <c r="AJ19" s="20"/>
      <c r="AK19" s="20"/>
      <c r="AL19" s="20"/>
      <c r="AM19" s="20"/>
      <c r="AN19" s="20"/>
      <c r="AO19" s="20"/>
      <c r="AP19" s="20"/>
      <c r="AQ19" s="20"/>
      <c r="AR19" s="33"/>
      <c r="AS19" s="132"/>
      <c r="AT19" s="20"/>
      <c r="AU19" s="20"/>
      <c r="AV19" s="20"/>
      <c r="AW19" s="20"/>
      <c r="AX19" s="20"/>
      <c r="AY19" s="114"/>
      <c r="AZ19" s="114"/>
      <c r="BA19" s="114"/>
      <c r="BB19" s="114"/>
      <c r="BC19" s="114"/>
      <c r="BD19" s="114"/>
      <c r="BE19" s="114"/>
      <c r="BF19" s="114"/>
      <c r="BG19" s="114"/>
      <c r="BH19" s="114"/>
      <c r="BI19" s="114"/>
      <c r="BJ19" s="114"/>
      <c r="BK19" s="114"/>
      <c r="BL19" s="114"/>
      <c r="BM19" s="114"/>
      <c r="BN19" s="114"/>
      <c r="BO19" s="114"/>
      <c r="BP19" s="114"/>
      <c r="BQ19" s="114"/>
    </row>
    <row r="20" spans="17:69">
      <c r="Y20" s="20"/>
      <c r="Z20" s="20"/>
      <c r="AA20" s="20"/>
      <c r="AB20" s="20"/>
      <c r="AC20" s="20"/>
      <c r="AD20" s="20"/>
      <c r="AE20" s="33"/>
      <c r="AF20" s="20"/>
      <c r="AG20" s="20"/>
      <c r="AH20" s="20"/>
      <c r="AI20" s="20"/>
      <c r="AJ20" s="20"/>
      <c r="AK20" s="20"/>
      <c r="AL20" s="20"/>
      <c r="AM20" s="20"/>
      <c r="AN20" s="20"/>
      <c r="AO20" s="20"/>
      <c r="AP20" s="20"/>
      <c r="AQ20" s="20"/>
      <c r="AR20" s="33"/>
      <c r="AS20" s="132"/>
      <c r="AT20" s="20"/>
      <c r="AU20" s="20"/>
      <c r="AV20" s="20"/>
      <c r="AW20" s="20"/>
      <c r="AX20" s="20"/>
      <c r="AY20" s="114"/>
      <c r="AZ20" s="114"/>
      <c r="BA20" s="114"/>
      <c r="BB20" s="114"/>
      <c r="BC20" s="114"/>
      <c r="BD20" s="114"/>
      <c r="BE20" s="114"/>
      <c r="BF20" s="114"/>
      <c r="BG20" s="114"/>
      <c r="BH20" s="114"/>
      <c r="BI20" s="114"/>
      <c r="BJ20" s="114"/>
      <c r="BK20" s="114"/>
      <c r="BL20" s="114"/>
      <c r="BM20" s="114"/>
      <c r="BN20" s="114"/>
      <c r="BO20" s="114"/>
      <c r="BP20" s="114"/>
      <c r="BQ20" s="114"/>
    </row>
    <row r="21" spans="17:69">
      <c r="Y21" s="20"/>
      <c r="Z21" s="20"/>
      <c r="AA21" s="20"/>
      <c r="AB21" s="20"/>
      <c r="AC21" s="20"/>
      <c r="AD21" s="20"/>
    </row>
    <row r="22" spans="17:69">
      <c r="Y22" s="20"/>
      <c r="Z22" s="20"/>
      <c r="AA22" s="20"/>
      <c r="AB22" s="20"/>
      <c r="AC22" s="20"/>
      <c r="AD22" s="20"/>
      <c r="AN22" s="137" t="s">
        <v>65</v>
      </c>
    </row>
    <row r="23" spans="17:69">
      <c r="Y23" s="20"/>
      <c r="Z23" s="20"/>
      <c r="AA23" s="20"/>
      <c r="AB23" s="20"/>
      <c r="AC23" s="20"/>
      <c r="AD23" s="20"/>
      <c r="AN23" s="137" t="s">
        <v>66</v>
      </c>
    </row>
    <row r="24" spans="17:69">
      <c r="Y24" s="20"/>
      <c r="Z24" s="20"/>
      <c r="AA24" s="20"/>
      <c r="AB24" s="20"/>
      <c r="AC24" s="20"/>
      <c r="AD24" s="20"/>
    </row>
    <row r="25" spans="17:69">
      <c r="Q25" s="19"/>
      <c r="R25" s="19"/>
      <c r="S25" s="19"/>
      <c r="Y25" s="20"/>
      <c r="Z25" s="20"/>
      <c r="AA25" s="20"/>
      <c r="AB25" s="20"/>
      <c r="AC25" s="20"/>
      <c r="AD25" s="20"/>
    </row>
    <row r="26" spans="17:69">
      <c r="Q26" s="19"/>
      <c r="R26" s="19"/>
      <c r="S26" s="19"/>
      <c r="Y26" s="20"/>
      <c r="Z26" s="20"/>
      <c r="AA26" s="20"/>
      <c r="AB26" s="20"/>
      <c r="AC26" s="20"/>
      <c r="AD26" s="20"/>
    </row>
    <row r="27" spans="17:69">
      <c r="Q27" s="19"/>
      <c r="R27" s="19"/>
      <c r="S27" s="19"/>
      <c r="Y27" s="20"/>
      <c r="Z27" s="20"/>
      <c r="AA27" s="20"/>
      <c r="AB27" s="20"/>
      <c r="AC27" s="20"/>
      <c r="AD27" s="20"/>
    </row>
    <row r="28" spans="17:69">
      <c r="Q28" s="19"/>
      <c r="S28" s="19"/>
      <c r="T28"/>
      <c r="Y28" s="20"/>
      <c r="Z28" s="20"/>
      <c r="AA28" s="20"/>
      <c r="AB28" s="20"/>
      <c r="AC28" s="20"/>
      <c r="AD28" s="20"/>
    </row>
    <row r="29" spans="17:69">
      <c r="Y29" s="20"/>
      <c r="Z29" s="20"/>
      <c r="AA29" s="20"/>
      <c r="AB29" s="20"/>
      <c r="AC29" s="20"/>
      <c r="AD29" s="20"/>
    </row>
    <row r="30" spans="17:69">
      <c r="Y30" s="20"/>
      <c r="Z30" s="20"/>
      <c r="AA30" s="20"/>
      <c r="AB30" s="20"/>
      <c r="AC30" s="20"/>
      <c r="AD30" s="20"/>
    </row>
    <row r="31" spans="17:69">
      <c r="Y31" s="20"/>
      <c r="Z31" s="20"/>
      <c r="AA31" s="20"/>
      <c r="AB31" s="20"/>
      <c r="AC31" s="20"/>
      <c r="AD31" s="20"/>
    </row>
    <row r="32" spans="17:69">
      <c r="Y32" s="20"/>
      <c r="Z32" s="20"/>
      <c r="AA32" s="20"/>
      <c r="AB32" s="20"/>
      <c r="AC32" s="20"/>
      <c r="AD32" s="20"/>
    </row>
    <row r="33" spans="12:67">
      <c r="Y33" s="20"/>
      <c r="Z33" s="20"/>
      <c r="AA33" s="20"/>
      <c r="AB33" s="20"/>
      <c r="AC33" s="20"/>
      <c r="AD33" s="20"/>
    </row>
    <row r="34" spans="12:67">
      <c r="Y34" s="20"/>
      <c r="Z34" s="20"/>
      <c r="AA34" s="20"/>
      <c r="AB34" s="20"/>
      <c r="AC34" s="20"/>
      <c r="AD34" s="20"/>
    </row>
    <row r="35" spans="12:67">
      <c r="Y35" s="20"/>
      <c r="Z35" s="20"/>
      <c r="AA35" s="20"/>
      <c r="AB35" s="20"/>
      <c r="AC35" s="20"/>
      <c r="AD35" s="20"/>
    </row>
    <row r="36" spans="12:67">
      <c r="L36" s="9"/>
      <c r="N36" s="11"/>
      <c r="O36" s="11"/>
      <c r="Y36" s="20"/>
      <c r="Z36" s="20"/>
      <c r="AA36" s="20"/>
      <c r="AB36" s="20"/>
      <c r="AC36" s="20"/>
      <c r="AD36" s="20"/>
    </row>
    <row r="37" spans="12:67">
      <c r="Q37" s="12"/>
      <c r="Y37" s="54"/>
      <c r="Z37" s="54"/>
      <c r="AA37" s="54"/>
      <c r="AB37" s="54"/>
      <c r="AC37" s="54"/>
      <c r="AD37" s="54"/>
      <c r="AF37" s="150"/>
      <c r="AG37" s="151"/>
      <c r="AH37" s="151"/>
      <c r="AI37" s="151"/>
      <c r="AJ37" s="151"/>
      <c r="AK37" s="151"/>
      <c r="AL37" s="151"/>
      <c r="AM37" s="151"/>
      <c r="AN37" s="151"/>
      <c r="AO37" s="151"/>
      <c r="AP37" s="151"/>
      <c r="AQ37" s="151"/>
      <c r="AR37" s="151"/>
      <c r="AS37" s="151"/>
      <c r="AT37" s="151"/>
      <c r="AU37" s="151"/>
      <c r="AV37" s="151"/>
      <c r="AW37" s="151"/>
      <c r="AX37" s="151"/>
      <c r="AY37" s="151"/>
      <c r="AZ37" s="151"/>
      <c r="BA37" s="151"/>
      <c r="BB37" s="151"/>
      <c r="BC37" s="151"/>
      <c r="BD37" s="151"/>
      <c r="BE37" s="151"/>
      <c r="BF37" s="151"/>
      <c r="BG37" s="151"/>
      <c r="BH37" s="151"/>
      <c r="BI37" s="151"/>
      <c r="BJ37" s="151"/>
      <c r="BK37" s="151"/>
      <c r="BL37" s="151"/>
      <c r="BM37" s="151"/>
      <c r="BN37" s="151"/>
      <c r="BO37" s="152"/>
    </row>
    <row r="38" spans="12:67">
      <c r="Y38" s="20"/>
      <c r="Z38" s="20"/>
      <c r="AA38" s="161" t="s">
        <v>69</v>
      </c>
      <c r="AB38" s="162"/>
      <c r="AC38" s="163"/>
      <c r="AD38" s="20"/>
      <c r="AF38" s="153"/>
      <c r="AG38" s="154"/>
      <c r="AH38" s="154"/>
      <c r="AI38" s="154"/>
      <c r="AJ38" s="86" t="s">
        <v>74</v>
      </c>
      <c r="AK38" s="154"/>
      <c r="AL38" s="154"/>
      <c r="AM38" s="154"/>
      <c r="AN38" s="154"/>
      <c r="AO38" s="154"/>
      <c r="AP38" s="154"/>
      <c r="AQ38" s="154"/>
      <c r="AR38" s="154"/>
      <c r="AS38" s="154"/>
      <c r="AT38" s="154"/>
      <c r="AU38" s="154"/>
      <c r="AV38" s="154"/>
      <c r="AW38" s="154"/>
      <c r="AX38" s="154"/>
      <c r="AY38" s="154"/>
      <c r="AZ38" s="86" t="s">
        <v>77</v>
      </c>
      <c r="BA38" s="154"/>
      <c r="BB38" s="154"/>
      <c r="BC38" s="154"/>
      <c r="BD38" s="154"/>
      <c r="BE38" s="154"/>
      <c r="BF38" s="154"/>
      <c r="BG38" s="154"/>
      <c r="BH38" s="154"/>
      <c r="BI38" s="154"/>
      <c r="BJ38" s="154"/>
      <c r="BK38" s="154"/>
      <c r="BL38" s="154"/>
      <c r="BM38" s="154"/>
      <c r="BN38" s="154"/>
      <c r="BO38" s="155"/>
    </row>
    <row r="39" spans="12:67" ht="18.75">
      <c r="Y39" s="20"/>
      <c r="Z39" s="20"/>
      <c r="AA39" s="50" t="s">
        <v>0</v>
      </c>
      <c r="AB39" s="50" t="s">
        <v>1</v>
      </c>
      <c r="AC39" s="50" t="s">
        <v>13</v>
      </c>
      <c r="AD39" s="20"/>
      <c r="AF39" s="153"/>
      <c r="AG39" s="86" t="s">
        <v>32</v>
      </c>
      <c r="AH39" s="86" t="s">
        <v>33</v>
      </c>
      <c r="AI39" s="86" t="s">
        <v>13</v>
      </c>
      <c r="AJ39" s="86" t="s">
        <v>78</v>
      </c>
      <c r="AK39" s="154"/>
      <c r="AL39" s="154"/>
      <c r="AM39" s="81" t="s">
        <v>34</v>
      </c>
      <c r="AN39" s="156"/>
      <c r="AO39" s="81" t="s">
        <v>35</v>
      </c>
      <c r="AP39" s="129"/>
      <c r="AQ39" s="156"/>
      <c r="AR39" s="156"/>
      <c r="AS39" s="156"/>
      <c r="AT39" s="81" t="s">
        <v>36</v>
      </c>
      <c r="AU39" s="156"/>
      <c r="AV39" s="154"/>
      <c r="AW39" s="86" t="s">
        <v>32</v>
      </c>
      <c r="AX39" s="86" t="s">
        <v>33</v>
      </c>
      <c r="AY39" s="86" t="s">
        <v>13</v>
      </c>
      <c r="AZ39" s="86" t="s">
        <v>41</v>
      </c>
      <c r="BA39" s="154"/>
      <c r="BB39" s="154"/>
      <c r="BC39" s="81" t="s">
        <v>34</v>
      </c>
      <c r="BD39" s="156"/>
      <c r="BE39" s="81" t="s">
        <v>35</v>
      </c>
      <c r="BF39" s="156"/>
      <c r="BG39" s="81" t="s">
        <v>36</v>
      </c>
      <c r="BH39" s="156"/>
      <c r="BI39" s="154"/>
      <c r="BJ39" s="154"/>
      <c r="BK39" s="154"/>
      <c r="BL39" s="154"/>
      <c r="BM39" s="154"/>
      <c r="BN39" s="154"/>
      <c r="BO39" s="155"/>
    </row>
    <row r="40" spans="12:67" ht="21" customHeight="1">
      <c r="Y40" s="20"/>
      <c r="Z40" s="51" t="str">
        <f>$C$6</f>
        <v>Pressure</v>
      </c>
      <c r="AA40" s="79">
        <v>-1</v>
      </c>
      <c r="AB40" s="6">
        <v>-1</v>
      </c>
      <c r="AC40" s="6">
        <f>$W$5</f>
        <v>79.62</v>
      </c>
      <c r="AD40" s="20"/>
      <c r="AF40" s="153"/>
      <c r="AG40" s="1">
        <f>$F$5</f>
        <v>100</v>
      </c>
      <c r="AH40" s="1">
        <f>AG40^2</f>
        <v>10000</v>
      </c>
      <c r="AI40" s="1">
        <f>AQ54</f>
        <v>79.62</v>
      </c>
      <c r="AJ40" s="18">
        <f>$AM$40*AG40^2+$AO$40*AG40+$AT$40</f>
        <v>79.619999999999976</v>
      </c>
      <c r="AK40" s="154"/>
      <c r="AL40" s="82" t="s">
        <v>37</v>
      </c>
      <c r="AM40" s="83">
        <f>INDEX(LINEST($AI$40:$AI$42,$AG$40:$AH$42,,TRUE),1,1)</f>
        <v>-6.125000000000028E-3</v>
      </c>
      <c r="AN40" s="84" t="s">
        <v>38</v>
      </c>
      <c r="AO40" s="83">
        <f>INDEX(LINEST($AI$40:$AI$42,$AG$40:$AH$42,,TRUE),1,2)</f>
        <v>1.4165000000000072</v>
      </c>
      <c r="AP40" s="83"/>
      <c r="AQ40" s="84" t="s">
        <v>39</v>
      </c>
      <c r="AR40" s="84"/>
      <c r="AS40" s="84"/>
      <c r="AT40" s="83">
        <f>INDEX(LINEST($AI$40:$AI$42,$AG$40:$AH$42,,TRUE),1,3)</f>
        <v>-0.78000000000045588</v>
      </c>
      <c r="AU40" s="85" t="s">
        <v>40</v>
      </c>
      <c r="AV40" s="154"/>
      <c r="AW40" s="1">
        <f>AG40</f>
        <v>100</v>
      </c>
      <c r="AX40" s="1">
        <f>AW40^2</f>
        <v>10000</v>
      </c>
      <c r="AY40" s="1">
        <f>AQ56</f>
        <v>74.64</v>
      </c>
      <c r="AZ40" s="18">
        <f>$BC$40*AW40^2+$BE$40*AW40+$BG$40</f>
        <v>74.639999999999944</v>
      </c>
      <c r="BA40" s="154"/>
      <c r="BB40" s="82" t="s">
        <v>37</v>
      </c>
      <c r="BC40" s="83">
        <f>INDEX(LINEST($AY$40:$AY$42,$AW$40:$AX$42,,TRUE),1,1)</f>
        <v>-7.1500000000000495E-3</v>
      </c>
      <c r="BD40" s="84" t="s">
        <v>38</v>
      </c>
      <c r="BE40" s="83">
        <f>INDEX(LINEST($AY$40:$AY$42,$AW$40:$AX$42,,TRUE),1,2)</f>
        <v>1.8410000000000124</v>
      </c>
      <c r="BF40" s="84" t="s">
        <v>39</v>
      </c>
      <c r="BG40" s="83">
        <f>INDEX(LINEST($AY$40:$AY$42,$AW$40:$AX$42,TRUE),1,3)</f>
        <v>-37.960000000000804</v>
      </c>
      <c r="BH40" s="85" t="s">
        <v>40</v>
      </c>
      <c r="BI40" s="154"/>
      <c r="BJ40" s="154"/>
      <c r="BK40" s="154"/>
      <c r="BL40" s="154"/>
      <c r="BM40" s="154"/>
      <c r="BN40" s="154"/>
      <c r="BO40" s="155"/>
    </row>
    <row r="41" spans="12:67">
      <c r="Y41" s="20"/>
      <c r="Z41" s="52" t="s">
        <v>73</v>
      </c>
      <c r="AA41" s="79">
        <v>1</v>
      </c>
      <c r="AB41" s="6">
        <f>AB40</f>
        <v>-1</v>
      </c>
      <c r="AC41" s="6">
        <f>$W$6</f>
        <v>77.48</v>
      </c>
      <c r="AD41" s="20"/>
      <c r="AF41" s="153"/>
      <c r="AG41" s="1">
        <f>AVERAGE(AG40,AG42)</f>
        <v>120</v>
      </c>
      <c r="AH41" s="1">
        <f t="shared" ref="AH41:AH42" si="6">AG41^2</f>
        <v>14400</v>
      </c>
      <c r="AI41" s="10">
        <v>81</v>
      </c>
      <c r="AJ41" s="18">
        <f>$AM$40*AG41^2+$AO$40*AG41+$AT$40</f>
        <v>81.000000000000014</v>
      </c>
      <c r="AK41" s="154"/>
      <c r="AL41" s="154"/>
      <c r="AM41" s="154"/>
      <c r="AN41" s="154"/>
      <c r="AO41" s="154"/>
      <c r="AP41" s="154"/>
      <c r="AQ41" s="154"/>
      <c r="AR41" s="154"/>
      <c r="AS41" s="154"/>
      <c r="AT41" s="154"/>
      <c r="AU41" s="154"/>
      <c r="AV41" s="154"/>
      <c r="AW41" s="1">
        <f>AVERAGE(AW40,AW42)</f>
        <v>120</v>
      </c>
      <c r="AX41" s="1">
        <f t="shared" ref="AX41:AX42" si="7">AW41^2</f>
        <v>14400</v>
      </c>
      <c r="AY41" s="10">
        <v>80</v>
      </c>
      <c r="AZ41" s="18">
        <f t="shared" ref="AZ41:AZ42" si="8">$BC$40*AW41^2+$BE$40*AW41+$BG$40</f>
        <v>79.999999999999972</v>
      </c>
      <c r="BA41" s="154"/>
      <c r="BB41" s="154"/>
      <c r="BC41" s="154"/>
      <c r="BD41" s="154"/>
      <c r="BE41" s="154"/>
      <c r="BF41" s="154"/>
      <c r="BG41" s="154"/>
      <c r="BH41" s="154"/>
      <c r="BI41" s="154"/>
      <c r="BJ41" s="154"/>
      <c r="BK41" s="154"/>
      <c r="BL41" s="154"/>
      <c r="BM41" s="154"/>
      <c r="BN41" s="154"/>
      <c r="BO41" s="155"/>
    </row>
    <row r="42" spans="12:67" ht="21" customHeight="1">
      <c r="Y42" s="20"/>
      <c r="Z42" s="51" t="str">
        <f>$C$6</f>
        <v>Pressure</v>
      </c>
      <c r="AA42" s="79">
        <f>AA40</f>
        <v>-1</v>
      </c>
      <c r="AB42" s="6">
        <v>1</v>
      </c>
      <c r="AC42" s="6">
        <f>$W$7</f>
        <v>74.64</v>
      </c>
      <c r="AD42" s="20"/>
      <c r="AF42" s="153"/>
      <c r="AG42" s="1">
        <f>$G$5</f>
        <v>140</v>
      </c>
      <c r="AH42" s="1">
        <f t="shared" si="6"/>
        <v>19600</v>
      </c>
      <c r="AI42" s="1">
        <f>AQ55</f>
        <v>77.48</v>
      </c>
      <c r="AJ42" s="18">
        <f>$AM$40*AG42^2+$AO$40*AG42+$AT$40</f>
        <v>77.47999999999999</v>
      </c>
      <c r="AK42" s="154"/>
      <c r="AL42" s="154"/>
      <c r="AM42" s="154"/>
      <c r="AN42" s="154"/>
      <c r="AO42" s="154"/>
      <c r="AP42" s="154"/>
      <c r="AQ42" s="154"/>
      <c r="AR42" s="154"/>
      <c r="AS42" s="154"/>
      <c r="AT42" s="154"/>
      <c r="AU42" s="154"/>
      <c r="AV42" s="154"/>
      <c r="AW42" s="1">
        <f>AG42</f>
        <v>140</v>
      </c>
      <c r="AX42" s="1">
        <f t="shared" si="7"/>
        <v>19600</v>
      </c>
      <c r="AY42" s="1">
        <f>AQ57</f>
        <v>79.64</v>
      </c>
      <c r="AZ42" s="18">
        <f t="shared" si="8"/>
        <v>79.63999999999993</v>
      </c>
      <c r="BA42" s="154"/>
      <c r="BB42" s="154"/>
      <c r="BC42" s="154"/>
      <c r="BD42" s="154"/>
      <c r="BE42" s="154"/>
      <c r="BF42" s="154"/>
      <c r="BG42" s="154"/>
      <c r="BH42" s="154"/>
      <c r="BI42" s="154"/>
      <c r="BJ42" s="154"/>
      <c r="BK42" s="154"/>
      <c r="BL42" s="154"/>
      <c r="BM42" s="154"/>
      <c r="BN42" s="154"/>
      <c r="BO42" s="155"/>
    </row>
    <row r="43" spans="12:67">
      <c r="Y43" s="20"/>
      <c r="Z43" s="52" t="s">
        <v>75</v>
      </c>
      <c r="AA43" s="79">
        <f>AA41</f>
        <v>1</v>
      </c>
      <c r="AB43" s="6">
        <f>AB42</f>
        <v>1</v>
      </c>
      <c r="AC43" s="6">
        <f>$W$8</f>
        <v>79.64</v>
      </c>
      <c r="AD43" s="20"/>
      <c r="AF43" s="153"/>
      <c r="AG43" s="154"/>
      <c r="AH43" s="154"/>
      <c r="AI43" s="154"/>
      <c r="AJ43" s="154"/>
      <c r="AK43" s="154"/>
      <c r="AL43" s="154"/>
      <c r="AM43" s="154" t="s">
        <v>79</v>
      </c>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154"/>
      <c r="BO43" s="155"/>
    </row>
    <row r="44" spans="12:67">
      <c r="Y44" s="20"/>
      <c r="Z44" s="20"/>
      <c r="AA44" s="20"/>
      <c r="AB44" s="20"/>
      <c r="AC44" s="20"/>
      <c r="AD44" s="20"/>
      <c r="AF44" s="153"/>
      <c r="AG44" s="1">
        <v>90</v>
      </c>
      <c r="AH44" s="1"/>
      <c r="AI44" s="1"/>
      <c r="AJ44" s="18">
        <f t="shared" ref="AJ44:AJ74" si="9">$AM$40*AG44^2+$AO$40*AG44+$AT$40</f>
        <v>77.092499999999973</v>
      </c>
      <c r="AK44" s="154"/>
      <c r="AL44" s="154"/>
      <c r="AM44" s="6" t="s">
        <v>32</v>
      </c>
      <c r="AN44" s="6" t="s">
        <v>13</v>
      </c>
      <c r="AO44" s="154"/>
      <c r="AP44" s="154"/>
      <c r="AQ44" s="154"/>
      <c r="AR44" s="154"/>
      <c r="AS44" s="154"/>
      <c r="AT44" s="154"/>
      <c r="AU44" s="154"/>
      <c r="AV44" s="154"/>
      <c r="AW44" s="1">
        <f t="shared" ref="AW44:AW72" si="10">AG44</f>
        <v>90</v>
      </c>
      <c r="AX44" s="1"/>
      <c r="AY44" s="1"/>
      <c r="AZ44" s="18">
        <f>$BC$40*AW44^2+$BE$40*AW44+$BG$40</f>
        <v>69.814999999999898</v>
      </c>
      <c r="BA44" s="154"/>
      <c r="BB44" s="154"/>
      <c r="BC44" s="154"/>
      <c r="BD44" s="154"/>
      <c r="BE44" s="154"/>
      <c r="BF44" s="154"/>
      <c r="BG44" s="154"/>
      <c r="BH44" s="154"/>
      <c r="BI44" s="154"/>
      <c r="BJ44" s="154"/>
      <c r="BK44" s="154"/>
      <c r="BL44" s="154"/>
      <c r="BM44" s="154"/>
      <c r="BN44" s="154"/>
      <c r="BO44" s="155"/>
    </row>
    <row r="45" spans="12:67">
      <c r="Y45" s="20"/>
      <c r="Z45" s="20"/>
      <c r="AA45" s="20"/>
      <c r="AB45" s="20"/>
      <c r="AC45" s="20"/>
      <c r="AD45" s="20"/>
      <c r="AF45" s="153"/>
      <c r="AG45" s="1">
        <v>92</v>
      </c>
      <c r="AH45" s="1"/>
      <c r="AI45" s="1"/>
      <c r="AJ45" s="18">
        <f t="shared" si="9"/>
        <v>77.69599999999997</v>
      </c>
      <c r="AK45" s="154"/>
      <c r="AL45" s="154"/>
      <c r="AM45" s="6">
        <f>$AG$40</f>
        <v>100</v>
      </c>
      <c r="AN45" s="6">
        <v>0</v>
      </c>
      <c r="AO45" s="154" t="s">
        <v>42</v>
      </c>
      <c r="AP45" s="154"/>
      <c r="AQ45" s="154"/>
      <c r="AR45" s="154"/>
      <c r="AS45" s="154"/>
      <c r="AT45" s="154"/>
      <c r="AU45" s="154"/>
      <c r="AV45" s="154"/>
      <c r="AW45" s="1">
        <f t="shared" si="10"/>
        <v>92</v>
      </c>
      <c r="AX45" s="1"/>
      <c r="AY45" s="1"/>
      <c r="AZ45" s="18">
        <f t="shared" ref="AZ45:AZ74" si="11">$BC$40*AW45^2+$BE$40*AW45+$BG$40</f>
        <v>70.894399999999933</v>
      </c>
      <c r="BA45" s="154"/>
      <c r="BB45" s="154"/>
      <c r="BC45" s="154"/>
      <c r="BD45" s="154"/>
      <c r="BE45" s="154"/>
      <c r="BF45" s="154"/>
      <c r="BG45" s="154"/>
      <c r="BH45" s="154"/>
      <c r="BI45" s="154"/>
      <c r="BJ45" s="154"/>
      <c r="BK45" s="154"/>
      <c r="BL45" s="154"/>
      <c r="BM45" s="154"/>
      <c r="BN45" s="154"/>
      <c r="BO45" s="155"/>
    </row>
    <row r="46" spans="12:67">
      <c r="Y46" s="20"/>
      <c r="Z46" s="20"/>
      <c r="AA46" s="20"/>
      <c r="AB46" s="20"/>
      <c r="AC46" s="20"/>
      <c r="AD46" s="20"/>
      <c r="AF46" s="153"/>
      <c r="AG46" s="1">
        <v>94</v>
      </c>
      <c r="AH46" s="1"/>
      <c r="AI46" s="1"/>
      <c r="AJ46" s="18">
        <f t="shared" si="9"/>
        <v>78.25049999999996</v>
      </c>
      <c r="AK46" s="154"/>
      <c r="AL46" s="154"/>
      <c r="AM46" s="6">
        <f>$AG$40</f>
        <v>100</v>
      </c>
      <c r="AN46" s="3">
        <v>81</v>
      </c>
      <c r="AO46" s="154"/>
      <c r="AP46" s="154"/>
      <c r="AQ46" s="154"/>
      <c r="AR46" s="154"/>
      <c r="AS46" s="154"/>
      <c r="AT46" s="154"/>
      <c r="AU46" s="154"/>
      <c r="AV46" s="154"/>
      <c r="AW46" s="1">
        <f t="shared" si="10"/>
        <v>94</v>
      </c>
      <c r="AX46" s="1"/>
      <c r="AY46" s="1"/>
      <c r="AZ46" s="18">
        <f t="shared" si="11"/>
        <v>71.916599999999931</v>
      </c>
      <c r="BA46" s="154"/>
      <c r="BB46" s="154"/>
      <c r="BC46" s="154"/>
      <c r="BD46" s="154"/>
      <c r="BE46" s="154"/>
      <c r="BF46" s="154"/>
      <c r="BG46" s="154"/>
      <c r="BH46" s="154"/>
      <c r="BI46" s="154"/>
      <c r="BJ46" s="154"/>
      <c r="BK46" s="154"/>
      <c r="BL46" s="154"/>
      <c r="BM46" s="154"/>
      <c r="BN46" s="154"/>
      <c r="BO46" s="155"/>
    </row>
    <row r="47" spans="12:67">
      <c r="Y47" s="20"/>
      <c r="Z47" s="20"/>
      <c r="AA47" s="20"/>
      <c r="AB47" s="20"/>
      <c r="AC47" s="20"/>
      <c r="AD47" s="20"/>
      <c r="AF47" s="153"/>
      <c r="AG47" s="1">
        <v>96</v>
      </c>
      <c r="AH47" s="1"/>
      <c r="AI47" s="1"/>
      <c r="AJ47" s="18">
        <f t="shared" si="9"/>
        <v>78.755999999999972</v>
      </c>
      <c r="AK47" s="154"/>
      <c r="AL47" s="154"/>
      <c r="AM47" s="6"/>
      <c r="AN47" s="6"/>
      <c r="AO47" s="154"/>
      <c r="AP47" s="154"/>
      <c r="AQ47" s="154"/>
      <c r="AR47" s="154"/>
      <c r="AS47" s="154"/>
      <c r="AT47" s="154"/>
      <c r="AU47" s="154"/>
      <c r="AV47" s="154"/>
      <c r="AW47" s="1">
        <f t="shared" si="10"/>
        <v>96</v>
      </c>
      <c r="AX47" s="1"/>
      <c r="AY47" s="1"/>
      <c r="AZ47" s="18">
        <f t="shared" si="11"/>
        <v>72.881599999999921</v>
      </c>
      <c r="BA47" s="154"/>
      <c r="BB47" s="154"/>
      <c r="BC47" s="154"/>
      <c r="BD47" s="154"/>
      <c r="BE47" s="154"/>
      <c r="BF47" s="154"/>
      <c r="BG47" s="154"/>
      <c r="BH47" s="154"/>
      <c r="BI47" s="154"/>
      <c r="BJ47" s="154"/>
      <c r="BK47" s="154"/>
      <c r="BL47" s="154"/>
      <c r="BM47" s="154"/>
      <c r="BN47" s="154"/>
      <c r="BO47" s="155"/>
    </row>
    <row r="48" spans="12:67">
      <c r="Y48" s="20"/>
      <c r="Z48" s="20"/>
      <c r="AA48" s="20"/>
      <c r="AB48" s="20"/>
      <c r="AC48" s="20"/>
      <c r="AD48" s="20"/>
      <c r="AF48" s="153"/>
      <c r="AG48" s="1">
        <v>98</v>
      </c>
      <c r="AH48" s="1"/>
      <c r="AI48" s="1"/>
      <c r="AJ48" s="18">
        <f t="shared" si="9"/>
        <v>79.212499999999991</v>
      </c>
      <c r="AK48" s="154"/>
      <c r="AL48" s="154"/>
      <c r="AM48" s="6">
        <f>$AG$42</f>
        <v>140</v>
      </c>
      <c r="AN48" s="6">
        <v>0</v>
      </c>
      <c r="AO48" s="154" t="s">
        <v>43</v>
      </c>
      <c r="AP48" s="154"/>
      <c r="AQ48" s="154"/>
      <c r="AR48" s="154"/>
      <c r="AS48" s="154"/>
      <c r="AT48" s="154"/>
      <c r="AU48" s="154"/>
      <c r="AV48" s="154"/>
      <c r="AW48" s="1">
        <f t="shared" si="10"/>
        <v>98</v>
      </c>
      <c r="AX48" s="1"/>
      <c r="AY48" s="1"/>
      <c r="AZ48" s="18">
        <f t="shared" si="11"/>
        <v>73.789399999999944</v>
      </c>
      <c r="BA48" s="154"/>
      <c r="BB48" s="154"/>
      <c r="BC48" s="154"/>
      <c r="BD48" s="154"/>
      <c r="BE48" s="154"/>
      <c r="BF48" s="154"/>
      <c r="BG48" s="154"/>
      <c r="BH48" s="154"/>
      <c r="BI48" s="154"/>
      <c r="BJ48" s="154"/>
      <c r="BK48" s="154"/>
      <c r="BL48" s="154"/>
      <c r="BM48" s="154"/>
      <c r="BN48" s="154"/>
      <c r="BO48" s="155"/>
    </row>
    <row r="49" spans="25:67">
      <c r="Y49" s="20"/>
      <c r="Z49" s="20"/>
      <c r="AA49" s="20"/>
      <c r="AB49" s="20"/>
      <c r="AC49" s="20"/>
      <c r="AD49" s="20"/>
      <c r="AF49" s="153"/>
      <c r="AG49" s="1">
        <v>100</v>
      </c>
      <c r="AH49" s="1"/>
      <c r="AI49" s="1"/>
      <c r="AJ49" s="18">
        <f t="shared" si="9"/>
        <v>79.619999999999976</v>
      </c>
      <c r="AK49" s="154"/>
      <c r="AL49" s="154"/>
      <c r="AM49" s="6">
        <f>$AG$42</f>
        <v>140</v>
      </c>
      <c r="AN49" s="6">
        <f>AN46</f>
        <v>81</v>
      </c>
      <c r="AO49" s="154"/>
      <c r="AP49" s="154"/>
      <c r="AQ49" s="154"/>
      <c r="AR49" s="154"/>
      <c r="AS49" s="154"/>
      <c r="AT49" s="154"/>
      <c r="AU49" s="154"/>
      <c r="AV49" s="154"/>
      <c r="AW49" s="1">
        <f t="shared" si="10"/>
        <v>100</v>
      </c>
      <c r="AX49" s="1"/>
      <c r="AY49" s="1"/>
      <c r="AZ49" s="18">
        <f t="shared" si="11"/>
        <v>74.639999999999944</v>
      </c>
      <c r="BA49" s="154"/>
      <c r="BB49" s="154"/>
      <c r="BC49" s="154"/>
      <c r="BD49" s="154"/>
      <c r="BE49" s="154"/>
      <c r="BF49" s="154"/>
      <c r="BG49" s="154"/>
      <c r="BH49" s="154"/>
      <c r="BI49" s="154"/>
      <c r="BJ49" s="154"/>
      <c r="BK49" s="154"/>
      <c r="BL49" s="154"/>
      <c r="BM49" s="154"/>
      <c r="BN49" s="154"/>
      <c r="BO49" s="155"/>
    </row>
    <row r="50" spans="25:67">
      <c r="Y50" s="20"/>
      <c r="Z50" s="20"/>
      <c r="AA50" s="20"/>
      <c r="AB50" s="20"/>
      <c r="AC50" s="20"/>
      <c r="AD50" s="20"/>
      <c r="AF50" s="153"/>
      <c r="AG50" s="1">
        <v>102</v>
      </c>
      <c r="AH50" s="1"/>
      <c r="AI50" s="1"/>
      <c r="AJ50" s="18">
        <f t="shared" si="9"/>
        <v>79.978499999999997</v>
      </c>
      <c r="AK50" s="154"/>
      <c r="AL50" s="154"/>
      <c r="AM50" s="154"/>
      <c r="AN50" s="154"/>
      <c r="AO50" s="154"/>
      <c r="AP50" s="154"/>
      <c r="AQ50" s="154"/>
      <c r="AR50" s="154"/>
      <c r="AS50" s="154"/>
      <c r="AT50" s="154"/>
      <c r="AU50" s="154"/>
      <c r="AV50" s="154"/>
      <c r="AW50" s="1">
        <f t="shared" si="10"/>
        <v>102</v>
      </c>
      <c r="AX50" s="1"/>
      <c r="AY50" s="1"/>
      <c r="AZ50" s="18">
        <f t="shared" si="11"/>
        <v>75.433399999999935</v>
      </c>
      <c r="BA50" s="154"/>
      <c r="BB50" s="154"/>
      <c r="BC50" s="154"/>
      <c r="BD50" s="154"/>
      <c r="BE50" s="154"/>
      <c r="BF50" s="154"/>
      <c r="BG50" s="154"/>
      <c r="BH50" s="154"/>
      <c r="BI50" s="154"/>
      <c r="BJ50" s="154"/>
      <c r="BK50" s="154"/>
      <c r="BL50" s="154"/>
      <c r="BM50" s="154"/>
      <c r="BN50" s="154"/>
      <c r="BO50" s="155"/>
    </row>
    <row r="51" spans="25:67">
      <c r="Y51" s="20"/>
      <c r="Z51" s="20"/>
      <c r="AA51" s="20"/>
      <c r="AB51" s="20"/>
      <c r="AC51" s="20"/>
      <c r="AD51" s="20"/>
      <c r="AF51" s="153"/>
      <c r="AG51" s="1">
        <v>104</v>
      </c>
      <c r="AH51" s="1"/>
      <c r="AI51" s="1"/>
      <c r="AJ51" s="18">
        <f t="shared" si="9"/>
        <v>80.287999999999982</v>
      </c>
      <c r="AK51" s="154"/>
      <c r="AL51" s="154"/>
      <c r="AM51" s="154"/>
      <c r="AN51" s="154"/>
      <c r="AO51" s="154"/>
      <c r="AP51" s="154"/>
      <c r="AQ51" s="154"/>
      <c r="AR51" s="154"/>
      <c r="AS51" s="154"/>
      <c r="AT51" s="154"/>
      <c r="AU51" s="154"/>
      <c r="AV51" s="154"/>
      <c r="AW51" s="1">
        <f t="shared" si="10"/>
        <v>104</v>
      </c>
      <c r="AX51" s="1"/>
      <c r="AY51" s="1"/>
      <c r="AZ51" s="18">
        <f t="shared" si="11"/>
        <v>76.169599999999932</v>
      </c>
      <c r="BA51" s="154"/>
      <c r="BB51" s="154"/>
      <c r="BC51" s="154"/>
      <c r="BD51" s="154"/>
      <c r="BE51" s="154"/>
      <c r="BF51" s="154"/>
      <c r="BG51" s="154"/>
      <c r="BH51" s="154"/>
      <c r="BI51" s="154"/>
      <c r="BJ51" s="154"/>
      <c r="BK51" s="154"/>
      <c r="BL51" s="154"/>
      <c r="BM51" s="154"/>
      <c r="BN51" s="154"/>
      <c r="BO51" s="155"/>
    </row>
    <row r="52" spans="25:67">
      <c r="Y52" s="20"/>
      <c r="Z52" s="20"/>
      <c r="AA52" s="20"/>
      <c r="AB52" s="20"/>
      <c r="AC52" s="20"/>
      <c r="AD52" s="20"/>
      <c r="AF52" s="153"/>
      <c r="AG52" s="1">
        <v>106</v>
      </c>
      <c r="AH52" s="1"/>
      <c r="AI52" s="1"/>
      <c r="AJ52" s="18">
        <f t="shared" si="9"/>
        <v>80.548500000000004</v>
      </c>
      <c r="AK52" s="154"/>
      <c r="AL52" s="154"/>
      <c r="AM52" s="157"/>
      <c r="AN52" s="161" t="s">
        <v>69</v>
      </c>
      <c r="AO52" s="162"/>
      <c r="AP52" s="162"/>
      <c r="AQ52" s="163"/>
      <c r="AR52" s="145"/>
      <c r="AS52" s="145"/>
      <c r="AT52" s="154"/>
      <c r="AU52" s="154"/>
      <c r="AV52" s="154"/>
      <c r="AW52" s="1">
        <f t="shared" si="10"/>
        <v>106</v>
      </c>
      <c r="AX52" s="1"/>
      <c r="AY52" s="1"/>
      <c r="AZ52" s="18">
        <f t="shared" si="11"/>
        <v>76.848599999999962</v>
      </c>
      <c r="BA52" s="154"/>
      <c r="BB52" s="154"/>
      <c r="BC52" s="154"/>
      <c r="BD52" s="154"/>
      <c r="BE52" s="154"/>
      <c r="BF52" s="154"/>
      <c r="BG52" s="154"/>
      <c r="BH52" s="154"/>
      <c r="BI52" s="154"/>
      <c r="BJ52" s="154"/>
      <c r="BK52" s="154"/>
      <c r="BL52" s="154"/>
      <c r="BM52" s="154"/>
      <c r="BN52" s="154"/>
      <c r="BO52" s="155"/>
    </row>
    <row r="53" spans="25:67">
      <c r="Y53" s="20"/>
      <c r="Z53" s="20"/>
      <c r="AA53" s="20"/>
      <c r="AB53" s="20"/>
      <c r="AC53" s="20"/>
      <c r="AD53" s="20"/>
      <c r="AF53" s="153"/>
      <c r="AG53" s="1">
        <v>108</v>
      </c>
      <c r="AH53" s="1"/>
      <c r="AI53" s="1"/>
      <c r="AJ53" s="18">
        <f t="shared" si="9"/>
        <v>80.759999999999991</v>
      </c>
      <c r="AK53" s="154"/>
      <c r="AL53" s="154"/>
      <c r="AM53" s="157"/>
      <c r="AN53" s="50" t="s">
        <v>0</v>
      </c>
      <c r="AO53" s="50" t="s">
        <v>1</v>
      </c>
      <c r="AP53" s="50"/>
      <c r="AQ53" s="50" t="s">
        <v>13</v>
      </c>
      <c r="AR53" s="146"/>
      <c r="AS53" s="146"/>
      <c r="AT53" s="154"/>
      <c r="AU53" s="154"/>
      <c r="AV53" s="154"/>
      <c r="AW53" s="1">
        <f t="shared" si="10"/>
        <v>108</v>
      </c>
      <c r="AX53" s="1"/>
      <c r="AY53" s="1"/>
      <c r="AZ53" s="18">
        <f t="shared" si="11"/>
        <v>77.470399999999955</v>
      </c>
      <c r="BA53" s="154"/>
      <c r="BB53" s="154"/>
      <c r="BC53" s="154"/>
      <c r="BD53" s="154"/>
      <c r="BE53" s="154"/>
      <c r="BF53" s="154"/>
      <c r="BG53" s="154"/>
      <c r="BH53" s="154"/>
      <c r="BI53" s="154"/>
      <c r="BJ53" s="154"/>
      <c r="BK53" s="154"/>
      <c r="BL53" s="154"/>
      <c r="BM53" s="154"/>
      <c r="BN53" s="154"/>
      <c r="BO53" s="155"/>
    </row>
    <row r="54" spans="25:67">
      <c r="Y54" s="20"/>
      <c r="Z54" s="20"/>
      <c r="AA54" s="20"/>
      <c r="AB54" s="20"/>
      <c r="AC54" s="20"/>
      <c r="AD54" s="20"/>
      <c r="AF54" s="153"/>
      <c r="AG54" s="1">
        <v>110</v>
      </c>
      <c r="AH54" s="1"/>
      <c r="AI54" s="1"/>
      <c r="AJ54" s="18">
        <f t="shared" si="9"/>
        <v>80.922499999999999</v>
      </c>
      <c r="AK54" s="154"/>
      <c r="AL54" s="154"/>
      <c r="AM54" s="51" t="str">
        <f>$C$6</f>
        <v>Pressure</v>
      </c>
      <c r="AN54" s="144">
        <f>$F$5</f>
        <v>100</v>
      </c>
      <c r="AO54" s="6">
        <f>$F$6</f>
        <v>1.5</v>
      </c>
      <c r="AP54" s="6"/>
      <c r="AQ54" s="6">
        <f>$W$5</f>
        <v>79.62</v>
      </c>
      <c r="AR54" s="147"/>
      <c r="AS54" s="147"/>
      <c r="AT54" s="154"/>
      <c r="AU54" s="154"/>
      <c r="AV54" s="154"/>
      <c r="AW54" s="1">
        <f t="shared" si="10"/>
        <v>110</v>
      </c>
      <c r="AX54" s="1"/>
      <c r="AY54" s="1"/>
      <c r="AZ54" s="18">
        <f t="shared" si="11"/>
        <v>78.034999999999954</v>
      </c>
      <c r="BA54" s="154"/>
      <c r="BB54" s="154"/>
      <c r="BC54" s="154"/>
      <c r="BD54" s="154"/>
      <c r="BE54" s="154"/>
      <c r="BF54" s="154"/>
      <c r="BG54" s="154"/>
      <c r="BH54" s="154"/>
      <c r="BI54" s="154"/>
      <c r="BJ54" s="154"/>
      <c r="BK54" s="154"/>
      <c r="BL54" s="154"/>
      <c r="BM54" s="154"/>
      <c r="BN54" s="154"/>
      <c r="BO54" s="155"/>
    </row>
    <row r="55" spans="25:67">
      <c r="Y55" s="20"/>
      <c r="Z55" s="20"/>
      <c r="AA55" s="20"/>
      <c r="AB55" s="20"/>
      <c r="AC55" s="20"/>
      <c r="AD55" s="20"/>
      <c r="AF55" s="153"/>
      <c r="AG55" s="1">
        <v>112</v>
      </c>
      <c r="AH55" s="1"/>
      <c r="AI55" s="1"/>
      <c r="AJ55" s="18">
        <f t="shared" si="9"/>
        <v>81.036000000000016</v>
      </c>
      <c r="AK55" s="154"/>
      <c r="AL55" s="154"/>
      <c r="AM55" s="52" t="s">
        <v>73</v>
      </c>
      <c r="AN55" s="144">
        <f>$G$5</f>
        <v>140</v>
      </c>
      <c r="AO55" s="6">
        <f>AO54</f>
        <v>1.5</v>
      </c>
      <c r="AP55" s="6"/>
      <c r="AQ55" s="6">
        <f>$W$6</f>
        <v>77.48</v>
      </c>
      <c r="AR55" s="147"/>
      <c r="AS55" s="147"/>
      <c r="AT55" s="154"/>
      <c r="AU55" s="154"/>
      <c r="AV55" s="154"/>
      <c r="AW55" s="1">
        <f t="shared" si="10"/>
        <v>112</v>
      </c>
      <c r="AX55" s="1"/>
      <c r="AY55" s="1"/>
      <c r="AZ55" s="18">
        <f t="shared" si="11"/>
        <v>78.542399999999972</v>
      </c>
      <c r="BA55" s="154"/>
      <c r="BB55" s="154"/>
      <c r="BC55" s="154"/>
      <c r="BD55" s="154"/>
      <c r="BE55" s="154"/>
      <c r="BF55" s="154"/>
      <c r="BG55" s="154"/>
      <c r="BH55" s="154"/>
      <c r="BI55" s="154"/>
      <c r="BJ55" s="154"/>
      <c r="BK55" s="154"/>
      <c r="BL55" s="154"/>
      <c r="BM55" s="154"/>
      <c r="BN55" s="154"/>
      <c r="BO55" s="155"/>
    </row>
    <row r="56" spans="25:67">
      <c r="Y56" s="20"/>
      <c r="Z56" s="20"/>
      <c r="AA56" s="20"/>
      <c r="AB56" s="20"/>
      <c r="AC56" s="20"/>
      <c r="AD56" s="20"/>
      <c r="AF56" s="153"/>
      <c r="AG56" s="1">
        <v>114</v>
      </c>
      <c r="AH56" s="1"/>
      <c r="AI56" s="1"/>
      <c r="AJ56" s="18">
        <f t="shared" si="9"/>
        <v>81.100499999999997</v>
      </c>
      <c r="AK56" s="154"/>
      <c r="AL56" s="154"/>
      <c r="AM56" s="51" t="str">
        <f>$C$6</f>
        <v>Pressure</v>
      </c>
      <c r="AN56" s="144">
        <f>AN54</f>
        <v>100</v>
      </c>
      <c r="AO56" s="6">
        <f>$G$6</f>
        <v>2.5</v>
      </c>
      <c r="AP56" s="6"/>
      <c r="AQ56" s="6">
        <f>$W$7</f>
        <v>74.64</v>
      </c>
      <c r="AR56" s="147"/>
      <c r="AS56" s="147"/>
      <c r="AT56" s="154"/>
      <c r="AU56" s="154"/>
      <c r="AV56" s="154"/>
      <c r="AW56" s="1">
        <f t="shared" si="10"/>
        <v>114</v>
      </c>
      <c r="AX56" s="1"/>
      <c r="AY56" s="1"/>
      <c r="AZ56" s="18">
        <f t="shared" si="11"/>
        <v>78.992599999999968</v>
      </c>
      <c r="BA56" s="154"/>
      <c r="BB56" s="154"/>
      <c r="BC56" s="154"/>
      <c r="BD56" s="154"/>
      <c r="BE56" s="154"/>
      <c r="BF56" s="154"/>
      <c r="BG56" s="154"/>
      <c r="BH56" s="154"/>
      <c r="BI56" s="154"/>
      <c r="BJ56" s="154"/>
      <c r="BK56" s="154"/>
      <c r="BL56" s="154"/>
      <c r="BM56" s="154"/>
      <c r="BN56" s="154"/>
      <c r="BO56" s="155"/>
    </row>
    <row r="57" spans="25:67">
      <c r="Y57" s="20"/>
      <c r="Z57" s="20"/>
      <c r="AA57" s="20"/>
      <c r="AB57" s="20"/>
      <c r="AC57" s="20"/>
      <c r="AD57" s="20"/>
      <c r="AF57" s="153"/>
      <c r="AG57" s="1">
        <v>116</v>
      </c>
      <c r="AH57" s="1"/>
      <c r="AI57" s="1"/>
      <c r="AJ57" s="106">
        <f t="shared" si="9"/>
        <v>81.116000000000014</v>
      </c>
      <c r="AK57" s="154"/>
      <c r="AL57" s="154"/>
      <c r="AM57" s="52" t="s">
        <v>75</v>
      </c>
      <c r="AN57" s="144">
        <f>AN55</f>
        <v>140</v>
      </c>
      <c r="AO57" s="6">
        <f>AO56</f>
        <v>2.5</v>
      </c>
      <c r="AP57" s="6"/>
      <c r="AQ57" s="6">
        <f>$W$8</f>
        <v>79.64</v>
      </c>
      <c r="AR57" s="147"/>
      <c r="AS57" s="147"/>
      <c r="AT57" s="154"/>
      <c r="AU57" s="154"/>
      <c r="AV57" s="154"/>
      <c r="AW57" s="1">
        <f t="shared" si="10"/>
        <v>116</v>
      </c>
      <c r="AX57" s="1"/>
      <c r="AY57" s="1"/>
      <c r="AZ57" s="18">
        <f t="shared" si="11"/>
        <v>79.385599999999968</v>
      </c>
      <c r="BA57" s="154"/>
      <c r="BB57" s="154"/>
      <c r="BC57" s="154"/>
      <c r="BD57" s="154"/>
      <c r="BE57" s="154"/>
      <c r="BF57" s="154"/>
      <c r="BG57" s="154"/>
      <c r="BH57" s="154"/>
      <c r="BI57" s="154"/>
      <c r="BJ57" s="154"/>
      <c r="BK57" s="154"/>
      <c r="BL57" s="154"/>
      <c r="BM57" s="154"/>
      <c r="BN57" s="154"/>
      <c r="BO57" s="155"/>
    </row>
    <row r="58" spans="25:67">
      <c r="Y58" s="20"/>
      <c r="Z58" s="20"/>
      <c r="AA58" s="20"/>
      <c r="AB58" s="20"/>
      <c r="AC58" s="20"/>
      <c r="AD58" s="20"/>
      <c r="AF58" s="153"/>
      <c r="AG58" s="1">
        <v>118</v>
      </c>
      <c r="AH58" s="1"/>
      <c r="AI58" s="1"/>
      <c r="AJ58" s="18">
        <f t="shared" si="9"/>
        <v>81.082499999999996</v>
      </c>
      <c r="AK58" s="154"/>
      <c r="AL58" s="154"/>
      <c r="AM58" s="154"/>
      <c r="AN58" s="154"/>
      <c r="AO58" s="154"/>
      <c r="AP58" s="154"/>
      <c r="AQ58" s="154"/>
      <c r="AR58" s="154"/>
      <c r="AS58" s="154"/>
      <c r="AT58" s="154"/>
      <c r="AU58" s="154"/>
      <c r="AV58" s="154"/>
      <c r="AW58" s="1">
        <f t="shared" si="10"/>
        <v>118</v>
      </c>
      <c r="AX58" s="1"/>
      <c r="AY58" s="1"/>
      <c r="AZ58" s="18">
        <f t="shared" si="11"/>
        <v>79.721399999999988</v>
      </c>
      <c r="BA58" s="154"/>
      <c r="BB58" s="154"/>
      <c r="BC58" s="154"/>
      <c r="BD58" s="154"/>
      <c r="BE58" s="154"/>
      <c r="BF58" s="154"/>
      <c r="BG58" s="154"/>
      <c r="BH58" s="154"/>
      <c r="BI58" s="154"/>
      <c r="BJ58" s="154"/>
      <c r="BK58" s="154"/>
      <c r="BL58" s="154"/>
      <c r="BM58" s="154"/>
      <c r="BN58" s="154"/>
      <c r="BO58" s="155"/>
    </row>
    <row r="59" spans="25:67">
      <c r="Y59" s="20"/>
      <c r="Z59" s="20"/>
      <c r="AA59" s="20"/>
      <c r="AB59" s="20"/>
      <c r="AC59" s="20"/>
      <c r="AD59" s="20"/>
      <c r="AF59" s="153"/>
      <c r="AG59" s="1">
        <v>120</v>
      </c>
      <c r="AH59" s="1"/>
      <c r="AI59" s="1"/>
      <c r="AJ59" s="18">
        <f t="shared" si="9"/>
        <v>81.000000000000014</v>
      </c>
      <c r="AK59" s="154"/>
      <c r="AL59" s="154"/>
      <c r="AM59" s="154"/>
      <c r="AN59" s="154"/>
      <c r="AO59" s="154"/>
      <c r="AP59" s="154"/>
      <c r="AQ59" s="154"/>
      <c r="AR59" s="154"/>
      <c r="AS59" s="154"/>
      <c r="AT59" s="154"/>
      <c r="AU59" s="154"/>
      <c r="AV59" s="154"/>
      <c r="AW59" s="1">
        <f t="shared" si="10"/>
        <v>120</v>
      </c>
      <c r="AX59" s="1"/>
      <c r="AY59" s="1"/>
      <c r="AZ59" s="18">
        <f t="shared" si="11"/>
        <v>79.999999999999972</v>
      </c>
      <c r="BA59" s="154"/>
      <c r="BB59" s="154"/>
      <c r="BC59" s="154"/>
      <c r="BD59" s="154"/>
      <c r="BE59" s="154"/>
      <c r="BF59" s="154"/>
      <c r="BG59" s="154"/>
      <c r="BH59" s="154"/>
      <c r="BI59" s="154"/>
      <c r="BJ59" s="154"/>
      <c r="BK59" s="154"/>
      <c r="BL59" s="154"/>
      <c r="BM59" s="154"/>
      <c r="BN59" s="154"/>
      <c r="BO59" s="155"/>
    </row>
    <row r="60" spans="25:67">
      <c r="Y60" s="20"/>
      <c r="Z60" s="20"/>
      <c r="AA60" s="20"/>
      <c r="AB60" s="20"/>
      <c r="AC60" s="20"/>
      <c r="AD60" s="20"/>
      <c r="AF60" s="153"/>
      <c r="AG60" s="1">
        <v>122</v>
      </c>
      <c r="AH60" s="1"/>
      <c r="AI60" s="1"/>
      <c r="AJ60" s="18">
        <f t="shared" si="9"/>
        <v>80.868499999999997</v>
      </c>
      <c r="AK60" s="154"/>
      <c r="AL60" s="154"/>
      <c r="AM60" s="154"/>
      <c r="AN60" s="154"/>
      <c r="AO60" s="154"/>
      <c r="AP60" s="154"/>
      <c r="AQ60" s="154"/>
      <c r="AR60" s="154"/>
      <c r="AS60" s="154"/>
      <c r="AT60" s="154"/>
      <c r="AU60" s="154"/>
      <c r="AV60" s="154"/>
      <c r="AW60" s="1">
        <f t="shared" si="10"/>
        <v>122</v>
      </c>
      <c r="AX60" s="1"/>
      <c r="AY60" s="1"/>
      <c r="AZ60" s="18">
        <f t="shared" si="11"/>
        <v>80.221399999999974</v>
      </c>
      <c r="BA60" s="154"/>
      <c r="BB60" s="154"/>
      <c r="BC60" s="154"/>
      <c r="BD60" s="154"/>
      <c r="BE60" s="154"/>
      <c r="BF60" s="154"/>
      <c r="BG60" s="154"/>
      <c r="BH60" s="154"/>
      <c r="BI60" s="154"/>
      <c r="BJ60" s="154"/>
      <c r="BK60" s="154"/>
      <c r="BL60" s="154"/>
      <c r="BM60" s="154"/>
      <c r="BN60" s="154"/>
      <c r="BO60" s="155"/>
    </row>
    <row r="61" spans="25:67">
      <c r="Y61" s="20"/>
      <c r="Z61" s="20"/>
      <c r="AA61" s="20"/>
      <c r="AB61" s="20"/>
      <c r="AC61" s="20"/>
      <c r="AD61" s="20"/>
      <c r="AF61" s="153"/>
      <c r="AG61" s="1">
        <v>124</v>
      </c>
      <c r="AH61" s="1"/>
      <c r="AI61" s="1"/>
      <c r="AJ61" s="18">
        <f t="shared" si="9"/>
        <v>80.688000000000017</v>
      </c>
      <c r="AK61" s="154"/>
      <c r="AL61" s="154"/>
      <c r="AM61" s="154"/>
      <c r="AN61" s="154"/>
      <c r="AO61" s="154"/>
      <c r="AP61" s="154"/>
      <c r="AQ61" s="154"/>
      <c r="AR61" s="154"/>
      <c r="AS61" s="154"/>
      <c r="AT61" s="154"/>
      <c r="AU61" s="154"/>
      <c r="AV61" s="154"/>
      <c r="AW61" s="1">
        <f t="shared" si="10"/>
        <v>124</v>
      </c>
      <c r="AX61" s="1"/>
      <c r="AY61" s="1"/>
      <c r="AZ61" s="18">
        <f t="shared" si="11"/>
        <v>80.385599999999954</v>
      </c>
      <c r="BA61" s="154"/>
      <c r="BB61" s="154"/>
      <c r="BC61" s="154"/>
      <c r="BD61" s="154"/>
      <c r="BE61" s="154"/>
      <c r="BF61" s="154"/>
      <c r="BG61" s="154"/>
      <c r="BH61" s="154"/>
      <c r="BI61" s="154"/>
      <c r="BJ61" s="154"/>
      <c r="BK61" s="154"/>
      <c r="BL61" s="154"/>
      <c r="BM61" s="154"/>
      <c r="BN61" s="154"/>
      <c r="BO61" s="155"/>
    </row>
    <row r="62" spans="25:67">
      <c r="Y62" s="20"/>
      <c r="Z62" s="20"/>
      <c r="AA62" s="20"/>
      <c r="AB62" s="20"/>
      <c r="AC62" s="20"/>
      <c r="AD62" s="20"/>
      <c r="AF62" s="153"/>
      <c r="AG62" s="1">
        <v>126</v>
      </c>
      <c r="AH62" s="1"/>
      <c r="AI62" s="1"/>
      <c r="AJ62" s="18">
        <f t="shared" si="9"/>
        <v>80.458500000000001</v>
      </c>
      <c r="AK62" s="154"/>
      <c r="AL62" s="154"/>
      <c r="AM62" s="154"/>
      <c r="AN62" s="154"/>
      <c r="AO62" s="154"/>
      <c r="AP62" s="154"/>
      <c r="AQ62" s="154"/>
      <c r="AR62" s="154"/>
      <c r="AS62" s="154"/>
      <c r="AT62" s="154"/>
      <c r="AU62" s="154"/>
      <c r="AV62" s="154"/>
      <c r="AW62" s="1">
        <f t="shared" si="10"/>
        <v>126</v>
      </c>
      <c r="AX62" s="1"/>
      <c r="AY62" s="1"/>
      <c r="AZ62" s="18">
        <f t="shared" si="11"/>
        <v>80.492599999999982</v>
      </c>
      <c r="BA62" s="154"/>
      <c r="BB62" s="154"/>
      <c r="BC62" s="154"/>
      <c r="BD62" s="154"/>
      <c r="BE62" s="154"/>
      <c r="BF62" s="154"/>
      <c r="BG62" s="154"/>
      <c r="BH62" s="154"/>
      <c r="BI62" s="154"/>
      <c r="BJ62" s="154"/>
      <c r="BK62" s="154"/>
      <c r="BL62" s="154"/>
      <c r="BM62" s="154"/>
      <c r="BN62" s="154"/>
      <c r="BO62" s="155"/>
    </row>
    <row r="63" spans="25:67">
      <c r="AF63" s="153"/>
      <c r="AG63" s="1">
        <v>128</v>
      </c>
      <c r="AH63" s="1"/>
      <c r="AI63" s="1"/>
      <c r="AJ63" s="18">
        <f t="shared" si="9"/>
        <v>80.180000000000007</v>
      </c>
      <c r="AK63" s="154"/>
      <c r="AL63" s="154"/>
      <c r="AM63" s="154"/>
      <c r="AN63" s="154"/>
      <c r="AO63" s="154"/>
      <c r="AP63" s="154"/>
      <c r="AQ63" s="154"/>
      <c r="AR63" s="154"/>
      <c r="AS63" s="154"/>
      <c r="AT63" s="154"/>
      <c r="AU63" s="154"/>
      <c r="AV63" s="154"/>
      <c r="AW63" s="1">
        <f t="shared" si="10"/>
        <v>128</v>
      </c>
      <c r="AX63" s="1"/>
      <c r="AY63" s="1"/>
      <c r="AZ63" s="106">
        <f t="shared" si="11"/>
        <v>80.542399999999972</v>
      </c>
      <c r="BA63" s="154"/>
      <c r="BB63" s="154"/>
      <c r="BC63" s="154"/>
      <c r="BD63" s="154"/>
      <c r="BE63" s="154"/>
      <c r="BF63" s="154"/>
      <c r="BG63" s="154"/>
      <c r="BH63" s="154"/>
      <c r="BI63" s="154"/>
      <c r="BJ63" s="154"/>
      <c r="BK63" s="154"/>
      <c r="BL63" s="154"/>
      <c r="BM63" s="154"/>
      <c r="BN63" s="154"/>
      <c r="BO63" s="155"/>
    </row>
    <row r="64" spans="25:67">
      <c r="AF64" s="153"/>
      <c r="AG64" s="1">
        <v>130</v>
      </c>
      <c r="AH64" s="1"/>
      <c r="AI64" s="1"/>
      <c r="AJ64" s="18">
        <f t="shared" si="9"/>
        <v>79.85250000000002</v>
      </c>
      <c r="AK64" s="154"/>
      <c r="AL64" s="154"/>
      <c r="AM64" s="154"/>
      <c r="AN64" s="154"/>
      <c r="AO64" s="154"/>
      <c r="AP64" s="154"/>
      <c r="AQ64" s="154"/>
      <c r="AR64" s="154"/>
      <c r="AS64" s="154"/>
      <c r="AT64" s="154"/>
      <c r="AU64" s="154"/>
      <c r="AV64" s="154"/>
      <c r="AW64" s="1">
        <f t="shared" si="10"/>
        <v>130</v>
      </c>
      <c r="AX64" s="1"/>
      <c r="AY64" s="1"/>
      <c r="AZ64" s="106">
        <f t="shared" si="11"/>
        <v>80.534999999999968</v>
      </c>
      <c r="BA64" s="154"/>
      <c r="BB64" s="154"/>
      <c r="BC64" s="154"/>
      <c r="BD64" s="154"/>
      <c r="BE64" s="154"/>
      <c r="BF64" s="154"/>
      <c r="BG64" s="154"/>
      <c r="BH64" s="154"/>
      <c r="BI64" s="154"/>
      <c r="BJ64" s="154"/>
      <c r="BK64" s="154"/>
      <c r="BL64" s="154"/>
      <c r="BM64" s="154"/>
      <c r="BN64" s="154"/>
      <c r="BO64" s="155"/>
    </row>
    <row r="65" spans="32:67">
      <c r="AF65" s="153"/>
      <c r="AG65" s="1">
        <v>132</v>
      </c>
      <c r="AH65" s="1"/>
      <c r="AI65" s="1"/>
      <c r="AJ65" s="18">
        <f t="shared" si="9"/>
        <v>79.475999999999999</v>
      </c>
      <c r="AK65" s="154"/>
      <c r="AL65" s="154"/>
      <c r="AM65" s="154"/>
      <c r="AN65" s="154"/>
      <c r="AO65" s="154"/>
      <c r="AP65" s="154"/>
      <c r="AQ65" s="154"/>
      <c r="AR65" s="154"/>
      <c r="AS65" s="154"/>
      <c r="AT65" s="154"/>
      <c r="AU65" s="154"/>
      <c r="AV65" s="154"/>
      <c r="AW65" s="1">
        <f t="shared" si="10"/>
        <v>132</v>
      </c>
      <c r="AX65" s="1"/>
      <c r="AY65" s="1"/>
      <c r="AZ65" s="18">
        <f t="shared" si="11"/>
        <v>80.470399999999984</v>
      </c>
      <c r="BA65" s="154"/>
      <c r="BB65" s="154"/>
      <c r="BC65" s="154"/>
      <c r="BD65" s="154"/>
      <c r="BE65" s="154"/>
      <c r="BF65" s="154"/>
      <c r="BG65" s="154"/>
      <c r="BH65" s="154"/>
      <c r="BI65" s="154"/>
      <c r="BJ65" s="154"/>
      <c r="BK65" s="154"/>
      <c r="BL65" s="154"/>
      <c r="BM65" s="154"/>
      <c r="BN65" s="154"/>
      <c r="BO65" s="155"/>
    </row>
    <row r="66" spans="32:67">
      <c r="AF66" s="153"/>
      <c r="AG66" s="1">
        <v>134</v>
      </c>
      <c r="AH66" s="1"/>
      <c r="AI66" s="1"/>
      <c r="AJ66" s="18">
        <f t="shared" si="9"/>
        <v>79.050500000000014</v>
      </c>
      <c r="AK66" s="154"/>
      <c r="AL66" s="154"/>
      <c r="AM66" s="154"/>
      <c r="AN66" s="154"/>
      <c r="AO66" s="154"/>
      <c r="AP66" s="154"/>
      <c r="AQ66" s="154"/>
      <c r="AR66" s="154"/>
      <c r="AS66" s="154"/>
      <c r="AT66" s="154"/>
      <c r="AU66" s="154"/>
      <c r="AV66" s="154"/>
      <c r="AW66" s="1">
        <f t="shared" si="10"/>
        <v>134</v>
      </c>
      <c r="AX66" s="1"/>
      <c r="AY66" s="1"/>
      <c r="AZ66" s="18">
        <f t="shared" si="11"/>
        <v>80.348599999999976</v>
      </c>
      <c r="BA66" s="154"/>
      <c r="BB66" s="154"/>
      <c r="BC66" s="154"/>
      <c r="BD66" s="154"/>
      <c r="BE66" s="154"/>
      <c r="BF66" s="154"/>
      <c r="BG66" s="154"/>
      <c r="BH66" s="154"/>
      <c r="BI66" s="154"/>
      <c r="BJ66" s="154"/>
      <c r="BK66" s="154"/>
      <c r="BL66" s="154"/>
      <c r="BM66" s="154"/>
      <c r="BN66" s="154"/>
      <c r="BO66" s="155"/>
    </row>
    <row r="67" spans="32:67">
      <c r="AF67" s="153"/>
      <c r="AG67" s="1">
        <v>136</v>
      </c>
      <c r="AH67" s="1"/>
      <c r="AI67" s="1"/>
      <c r="AJ67" s="18">
        <f t="shared" si="9"/>
        <v>78.575999999999993</v>
      </c>
      <c r="AK67" s="154"/>
      <c r="AL67" s="154"/>
      <c r="AM67" s="154"/>
      <c r="AN67" s="154"/>
      <c r="AO67" s="154"/>
      <c r="AP67" s="154"/>
      <c r="AQ67" s="154"/>
      <c r="AR67" s="154"/>
      <c r="AS67" s="154"/>
      <c r="AT67" s="154"/>
      <c r="AU67" s="154"/>
      <c r="AV67" s="154"/>
      <c r="AW67" s="1">
        <f t="shared" si="10"/>
        <v>136</v>
      </c>
      <c r="AX67" s="1"/>
      <c r="AY67" s="1"/>
      <c r="AZ67" s="18">
        <f t="shared" si="11"/>
        <v>80.169599999999974</v>
      </c>
      <c r="BA67" s="154"/>
      <c r="BB67" s="154"/>
      <c r="BC67" s="154"/>
      <c r="BD67" s="154"/>
      <c r="BE67" s="154"/>
      <c r="BF67" s="154"/>
      <c r="BG67" s="154"/>
      <c r="BH67" s="154"/>
      <c r="BI67" s="154"/>
      <c r="BJ67" s="154"/>
      <c r="BK67" s="154"/>
      <c r="BL67" s="154"/>
      <c r="BM67" s="154"/>
      <c r="BN67" s="154"/>
      <c r="BO67" s="155"/>
    </row>
    <row r="68" spans="32:67">
      <c r="AF68" s="153"/>
      <c r="AG68" s="1">
        <v>138</v>
      </c>
      <c r="AH68" s="1"/>
      <c r="AI68" s="1"/>
      <c r="AJ68" s="18">
        <f t="shared" si="9"/>
        <v>78.052500000000009</v>
      </c>
      <c r="AK68" s="154"/>
      <c r="AL68" s="154"/>
      <c r="AM68" s="154"/>
      <c r="AN68" s="154"/>
      <c r="AO68" s="154"/>
      <c r="AP68" s="154"/>
      <c r="AQ68" s="154"/>
      <c r="AR68" s="154"/>
      <c r="AS68" s="154"/>
      <c r="AT68" s="154"/>
      <c r="AU68" s="154"/>
      <c r="AV68" s="154"/>
      <c r="AW68" s="1">
        <f t="shared" si="10"/>
        <v>138</v>
      </c>
      <c r="AX68" s="1"/>
      <c r="AY68" s="1"/>
      <c r="AZ68" s="18">
        <f t="shared" si="11"/>
        <v>79.933399999999949</v>
      </c>
      <c r="BA68" s="154"/>
      <c r="BB68" s="154"/>
      <c r="BC68" s="154"/>
      <c r="BD68" s="154"/>
      <c r="BE68" s="154"/>
      <c r="BF68" s="154"/>
      <c r="BG68" s="154"/>
      <c r="BH68" s="154"/>
      <c r="BI68" s="154"/>
      <c r="BJ68" s="154"/>
      <c r="BK68" s="154"/>
      <c r="BL68" s="154"/>
      <c r="BM68" s="154"/>
      <c r="BN68" s="154"/>
      <c r="BO68" s="155"/>
    </row>
    <row r="69" spans="32:67">
      <c r="AF69" s="153"/>
      <c r="AG69" s="1">
        <v>140</v>
      </c>
      <c r="AH69" s="1"/>
      <c r="AI69" s="1"/>
      <c r="AJ69" s="18">
        <f t="shared" si="9"/>
        <v>77.47999999999999</v>
      </c>
      <c r="AK69" s="154"/>
      <c r="AL69" s="154"/>
      <c r="AM69" s="154"/>
      <c r="AN69" s="154"/>
      <c r="AO69" s="154"/>
      <c r="AP69" s="154"/>
      <c r="AQ69" s="154"/>
      <c r="AR69" s="154"/>
      <c r="AS69" s="154"/>
      <c r="AT69" s="154"/>
      <c r="AU69" s="154"/>
      <c r="AV69" s="154"/>
      <c r="AW69" s="1">
        <f t="shared" si="10"/>
        <v>140</v>
      </c>
      <c r="AX69" s="1"/>
      <c r="AY69" s="1"/>
      <c r="AZ69" s="18">
        <f t="shared" si="11"/>
        <v>79.63999999999993</v>
      </c>
      <c r="BA69" s="154"/>
      <c r="BB69" s="154"/>
      <c r="BC69" s="154"/>
      <c r="BD69" s="154"/>
      <c r="BE69" s="154"/>
      <c r="BF69" s="154"/>
      <c r="BG69" s="154"/>
      <c r="BH69" s="154"/>
      <c r="BI69" s="154"/>
      <c r="BJ69" s="154"/>
      <c r="BK69" s="154"/>
      <c r="BL69" s="154"/>
      <c r="BM69" s="154"/>
      <c r="BN69" s="154"/>
      <c r="BO69" s="155"/>
    </row>
    <row r="70" spans="32:67">
      <c r="AF70" s="153"/>
      <c r="AG70" s="1">
        <v>142</v>
      </c>
      <c r="AH70" s="1"/>
      <c r="AI70" s="1"/>
      <c r="AJ70" s="18">
        <f t="shared" si="9"/>
        <v>76.858500000000006</v>
      </c>
      <c r="AK70" s="154"/>
      <c r="AL70" s="154"/>
      <c r="AM70" s="154"/>
      <c r="AN70" s="154"/>
      <c r="AO70" s="154"/>
      <c r="AP70" s="154"/>
      <c r="AQ70" s="154"/>
      <c r="AR70" s="154"/>
      <c r="AS70" s="154"/>
      <c r="AT70" s="154"/>
      <c r="AU70" s="154"/>
      <c r="AV70" s="154"/>
      <c r="AW70" s="1">
        <f t="shared" si="10"/>
        <v>142</v>
      </c>
      <c r="AX70" s="1"/>
      <c r="AY70" s="1"/>
      <c r="AZ70" s="18">
        <f t="shared" si="11"/>
        <v>79.289399999999972</v>
      </c>
      <c r="BA70" s="154"/>
      <c r="BB70" s="154"/>
      <c r="BC70" s="154"/>
      <c r="BD70" s="154"/>
      <c r="BE70" s="154"/>
      <c r="BF70" s="154"/>
      <c r="BG70" s="154"/>
      <c r="BH70" s="154"/>
      <c r="BI70" s="154"/>
      <c r="BJ70" s="154"/>
      <c r="BK70" s="154"/>
      <c r="BL70" s="154"/>
      <c r="BM70" s="154"/>
      <c r="BN70" s="154"/>
      <c r="BO70" s="155"/>
    </row>
    <row r="71" spans="32:67">
      <c r="AF71" s="153"/>
      <c r="AG71" s="1">
        <v>144</v>
      </c>
      <c r="AH71" s="1"/>
      <c r="AI71" s="1"/>
      <c r="AJ71" s="18">
        <f t="shared" si="9"/>
        <v>76.187999999999988</v>
      </c>
      <c r="AK71" s="154"/>
      <c r="AL71" s="154"/>
      <c r="AM71" s="154"/>
      <c r="AN71" s="154"/>
      <c r="AO71" s="154"/>
      <c r="AP71" s="154"/>
      <c r="AQ71" s="154"/>
      <c r="AR71" s="154"/>
      <c r="AS71" s="154"/>
      <c r="AT71" s="154"/>
      <c r="AU71" s="154"/>
      <c r="AV71" s="154"/>
      <c r="AW71" s="1">
        <f t="shared" si="10"/>
        <v>144</v>
      </c>
      <c r="AX71" s="1"/>
      <c r="AY71" s="1"/>
      <c r="AZ71" s="18">
        <f t="shared" si="11"/>
        <v>78.881599999999963</v>
      </c>
      <c r="BA71" s="154"/>
      <c r="BB71" s="154"/>
      <c r="BC71" s="154"/>
      <c r="BD71" s="154"/>
      <c r="BE71" s="154"/>
      <c r="BF71" s="154"/>
      <c r="BG71" s="154"/>
      <c r="BH71" s="154"/>
      <c r="BI71" s="154"/>
      <c r="BJ71" s="154"/>
      <c r="BK71" s="154"/>
      <c r="BL71" s="154"/>
      <c r="BM71" s="154"/>
      <c r="BN71" s="154"/>
      <c r="BO71" s="155"/>
    </row>
    <row r="72" spans="32:67">
      <c r="AF72" s="153"/>
      <c r="AG72" s="1">
        <v>146</v>
      </c>
      <c r="AH72" s="1"/>
      <c r="AI72" s="1"/>
      <c r="AJ72" s="18">
        <f t="shared" si="9"/>
        <v>75.468500000000006</v>
      </c>
      <c r="AK72" s="154"/>
      <c r="AL72" s="154"/>
      <c r="AM72" s="154"/>
      <c r="AN72" s="154"/>
      <c r="AO72" s="154"/>
      <c r="AP72" s="154"/>
      <c r="AQ72" s="154"/>
      <c r="AR72" s="154"/>
      <c r="AS72" s="154"/>
      <c r="AT72" s="154"/>
      <c r="AU72" s="154"/>
      <c r="AV72" s="154"/>
      <c r="AW72" s="1">
        <f t="shared" si="10"/>
        <v>146</v>
      </c>
      <c r="AX72" s="1"/>
      <c r="AY72" s="1"/>
      <c r="AZ72" s="18">
        <f t="shared" si="11"/>
        <v>78.41659999999996</v>
      </c>
      <c r="BA72" s="154"/>
      <c r="BB72" s="154"/>
      <c r="BC72" s="154"/>
      <c r="BD72" s="154"/>
      <c r="BE72" s="154"/>
      <c r="BF72" s="154"/>
      <c r="BG72" s="154"/>
      <c r="BH72" s="154"/>
      <c r="BI72" s="154"/>
      <c r="BJ72" s="154"/>
      <c r="BK72" s="154"/>
      <c r="BL72" s="154"/>
      <c r="BM72" s="154"/>
      <c r="BN72" s="154"/>
      <c r="BO72" s="155"/>
    </row>
    <row r="73" spans="32:67">
      <c r="AF73" s="153"/>
      <c r="AG73" s="1">
        <v>148</v>
      </c>
      <c r="AH73" s="1"/>
      <c r="AI73" s="1"/>
      <c r="AJ73" s="18">
        <f t="shared" si="9"/>
        <v>74.700000000000017</v>
      </c>
      <c r="AK73" s="154"/>
      <c r="AL73" s="154"/>
      <c r="AM73" s="154"/>
      <c r="AN73" s="154"/>
      <c r="AO73" s="154"/>
      <c r="AP73" s="154"/>
      <c r="AQ73" s="154"/>
      <c r="AR73" s="154"/>
      <c r="AS73" s="154"/>
      <c r="AT73" s="154"/>
      <c r="AU73" s="154"/>
      <c r="AV73" s="154"/>
      <c r="AW73" s="1">
        <f t="shared" ref="AW73:AW74" si="12">AG73</f>
        <v>148</v>
      </c>
      <c r="AX73" s="1"/>
      <c r="AY73" s="1"/>
      <c r="AZ73" s="18">
        <f t="shared" si="11"/>
        <v>77.894399999999962</v>
      </c>
      <c r="BA73" s="154"/>
      <c r="BB73" s="154"/>
      <c r="BC73" s="154"/>
      <c r="BD73" s="154"/>
      <c r="BE73" s="154"/>
      <c r="BF73" s="154"/>
      <c r="BG73" s="154"/>
      <c r="BH73" s="154"/>
      <c r="BI73" s="154"/>
      <c r="BJ73" s="154"/>
      <c r="BK73" s="154"/>
      <c r="BL73" s="154"/>
      <c r="BM73" s="154"/>
      <c r="BN73" s="154"/>
      <c r="BO73" s="155"/>
    </row>
    <row r="74" spans="32:67">
      <c r="AF74" s="153"/>
      <c r="AG74" s="1">
        <v>150</v>
      </c>
      <c r="AH74" s="1"/>
      <c r="AI74" s="1"/>
      <c r="AJ74" s="18">
        <f t="shared" si="9"/>
        <v>73.882499999999993</v>
      </c>
      <c r="AK74" s="154"/>
      <c r="AL74" s="154"/>
      <c r="AM74" s="154"/>
      <c r="AN74" s="154"/>
      <c r="AO74" s="154"/>
      <c r="AP74" s="154"/>
      <c r="AQ74" s="154"/>
      <c r="AR74" s="154"/>
      <c r="AS74" s="154"/>
      <c r="AT74" s="154"/>
      <c r="AU74" s="154"/>
      <c r="AV74" s="154"/>
      <c r="AW74" s="1">
        <f t="shared" si="12"/>
        <v>150</v>
      </c>
      <c r="AX74" s="1"/>
      <c r="AY74" s="1"/>
      <c r="AZ74" s="18">
        <f t="shared" si="11"/>
        <v>77.314999999999941</v>
      </c>
      <c r="BA74" s="154"/>
      <c r="BB74" s="154"/>
      <c r="BC74" s="154"/>
      <c r="BD74" s="154"/>
      <c r="BE74" s="154"/>
      <c r="BF74" s="154"/>
      <c r="BG74" s="154"/>
      <c r="BH74" s="154"/>
      <c r="BI74" s="154"/>
      <c r="BJ74" s="154"/>
      <c r="BK74" s="154"/>
      <c r="BL74" s="154"/>
      <c r="BM74" s="154"/>
      <c r="BN74" s="154"/>
      <c r="BO74" s="155"/>
    </row>
    <row r="75" spans="32:67">
      <c r="AF75" s="158"/>
      <c r="AG75" s="159"/>
      <c r="AH75" s="159"/>
      <c r="AI75" s="159"/>
      <c r="AJ75" s="159"/>
      <c r="AK75" s="159"/>
      <c r="AL75" s="159"/>
      <c r="AM75" s="159"/>
      <c r="AN75" s="159"/>
      <c r="AO75" s="159"/>
      <c r="AP75" s="159"/>
      <c r="AQ75" s="159"/>
      <c r="AR75" s="159"/>
      <c r="AS75" s="159"/>
      <c r="AT75" s="159"/>
      <c r="AU75" s="159"/>
      <c r="AV75" s="159"/>
      <c r="AW75" s="159"/>
      <c r="AX75" s="159"/>
      <c r="AY75" s="159"/>
      <c r="AZ75" s="159"/>
      <c r="BA75" s="159"/>
      <c r="BB75" s="159"/>
      <c r="BC75" s="159"/>
      <c r="BD75" s="159"/>
      <c r="BE75" s="159"/>
      <c r="BF75" s="159"/>
      <c r="BG75" s="159"/>
      <c r="BH75" s="159"/>
      <c r="BI75" s="159"/>
      <c r="BJ75" s="159"/>
      <c r="BK75" s="159"/>
      <c r="BL75" s="159"/>
      <c r="BM75" s="159"/>
      <c r="BN75" s="159"/>
      <c r="BO75" s="160"/>
    </row>
  </sheetData>
  <mergeCells count="22">
    <mergeCell ref="BR3:BR4"/>
    <mergeCell ref="I4:J4"/>
    <mergeCell ref="AN4:AO4"/>
    <mergeCell ref="I5:J5"/>
    <mergeCell ref="AH5:AI5"/>
    <mergeCell ref="R3:U3"/>
    <mergeCell ref="F3:G3"/>
    <mergeCell ref="I3:J3"/>
    <mergeCell ref="K3:L3"/>
    <mergeCell ref="M3:N3"/>
    <mergeCell ref="Q3:Q4"/>
    <mergeCell ref="AN52:AQ52"/>
    <mergeCell ref="AG3:AI3"/>
    <mergeCell ref="AA38:AC38"/>
    <mergeCell ref="AH6:AI6"/>
    <mergeCell ref="AH7:AI7"/>
    <mergeCell ref="AH8:AI8"/>
    <mergeCell ref="AL12:AL13"/>
    <mergeCell ref="AM12:AM13"/>
    <mergeCell ref="Z3:AB3"/>
    <mergeCell ref="AA13:AB13"/>
    <mergeCell ref="Z13:Z15"/>
  </mergeCells>
  <conditionalFormatting sqref="AO6 AN6:AN8">
    <cfRule type="cellIs" dxfId="3" priority="2" operator="equal">
      <formula>"signifikant"</formula>
    </cfRule>
  </conditionalFormatting>
  <conditionalFormatting sqref="AO6:AO8">
    <cfRule type="cellIs" dxfId="2" priority="1" operator="equal">
      <formula>1</formula>
    </cfRule>
  </conditionalFormatting>
  <pageMargins left="0.70866141732283472" right="0.70866141732283472" top="0.78740157480314965" bottom="0.78740157480314965" header="0.31496062992125984" footer="0.31496062992125984"/>
  <pageSetup paperSize="9" scale="22" orientation="landscape" verticalDpi="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CA62"/>
  <sheetViews>
    <sheetView zoomScaleNormal="100" workbookViewId="0"/>
  </sheetViews>
  <sheetFormatPr baseColWidth="10" defaultRowHeight="15"/>
  <cols>
    <col min="1" max="1" width="6" customWidth="1"/>
    <col min="2" max="2" width="3.7109375" customWidth="1"/>
    <col min="3" max="3" width="13.7109375" customWidth="1"/>
    <col min="4" max="4" width="18.28515625" customWidth="1"/>
    <col min="5" max="5" width="15.140625" customWidth="1"/>
    <col min="6" max="6" width="9.5703125" customWidth="1"/>
    <col min="7" max="7" width="10.140625" customWidth="1"/>
    <col min="8" max="8" width="5.28515625" customWidth="1"/>
    <col min="9" max="9" width="6.7109375" customWidth="1"/>
    <col min="10" max="10" width="12.42578125" customWidth="1"/>
    <col min="11" max="11" width="10" customWidth="1"/>
    <col min="12" max="12" width="9.28515625" customWidth="1"/>
    <col min="13" max="13" width="4.7109375" customWidth="1"/>
    <col min="14" max="14" width="7.28515625" customWidth="1"/>
    <col min="15" max="16" width="2.42578125" customWidth="1"/>
    <col min="17" max="17" width="4.42578125" customWidth="1"/>
    <col min="18" max="18" width="8.7109375" customWidth="1"/>
    <col min="19" max="19" width="9.140625" customWidth="1"/>
    <col min="20" max="20" width="7.42578125" customWidth="1"/>
    <col min="21" max="22" width="6.7109375" style="19" customWidth="1"/>
    <col min="23" max="23" width="6.28515625" style="19" customWidth="1"/>
    <col min="24" max="24" width="10.28515625" customWidth="1"/>
    <col min="25" max="25" width="2.42578125" customWidth="1"/>
    <col min="26" max="26" width="3.28515625" customWidth="1"/>
    <col min="27" max="27" width="13.42578125" customWidth="1"/>
    <col min="28" max="28" width="14.42578125" customWidth="1"/>
    <col min="29" max="30" width="13.42578125" customWidth="1"/>
    <col min="31" max="31" width="33.7109375" customWidth="1"/>
    <col min="32" max="32" width="2.7109375" customWidth="1"/>
    <col min="33" max="33" width="5" customWidth="1"/>
    <col min="34" max="34" width="12.28515625" customWidth="1"/>
    <col min="35" max="35" width="17.42578125" customWidth="1"/>
    <col min="36" max="36" width="6.42578125" customWidth="1"/>
    <col min="37" max="37" width="9.7109375" customWidth="1"/>
    <col min="38" max="38" width="12.42578125" customWidth="1"/>
    <col min="39" max="39" width="10.7109375" customWidth="1"/>
    <col min="40" max="40" width="16.85546875" customWidth="1"/>
    <col min="41" max="41" width="5.7109375" customWidth="1"/>
    <col min="42" max="42" width="8.28515625" customWidth="1"/>
    <col min="43" max="45" width="3.7109375" customWidth="1"/>
    <col min="46" max="46" width="3.85546875" customWidth="1"/>
    <col min="47" max="47" width="7.5703125" customWidth="1"/>
    <col min="48" max="48" width="8.85546875" customWidth="1"/>
    <col min="49" max="49" width="5.42578125" customWidth="1"/>
    <col min="50" max="50" width="3.7109375" customWidth="1"/>
    <col min="51" max="51" width="4.28515625" customWidth="1"/>
    <col min="52" max="52" width="2.5703125" customWidth="1"/>
    <col min="53" max="53" width="4.140625" customWidth="1"/>
    <col min="54" max="54" width="2.42578125" customWidth="1"/>
    <col min="55" max="55" width="4.140625" customWidth="1"/>
    <col min="56" max="56" width="2.28515625" customWidth="1"/>
    <col min="57" max="57" width="4" customWidth="1"/>
    <col min="58" max="58" width="8.7109375" customWidth="1"/>
    <col min="59" max="59" width="3.42578125" customWidth="1"/>
    <col min="60" max="60" width="8.7109375" customWidth="1"/>
    <col min="61" max="61" width="4.28515625" customWidth="1"/>
    <col min="62" max="62" width="8.7109375" customWidth="1"/>
    <col min="63" max="63" width="3.42578125" customWidth="1"/>
    <col min="64" max="64" width="8.7109375" customWidth="1"/>
    <col min="65" max="65" width="3.28515625" customWidth="1"/>
    <col min="66" max="66" width="11" customWidth="1"/>
    <col min="67" max="67" width="3.42578125" customWidth="1"/>
    <col min="79" max="79" width="4.28515625" customWidth="1"/>
  </cols>
  <sheetData>
    <row r="1" spans="1:79" ht="15.75">
      <c r="A1" s="70"/>
      <c r="B1" s="70"/>
      <c r="C1" s="72" t="str">
        <f>'Prod Quant Chem Reactor'!C1</f>
        <v>Input of factors and levels</v>
      </c>
      <c r="D1" s="70"/>
      <c r="E1" s="70"/>
      <c r="F1" s="70"/>
      <c r="G1" s="70"/>
      <c r="H1" s="70"/>
      <c r="I1" s="72" t="str">
        <f>'Prod Quant Chem Reactor'!K1</f>
        <v>Input of test results</v>
      </c>
      <c r="J1" s="70"/>
      <c r="K1" s="70"/>
      <c r="L1" s="70"/>
      <c r="M1" s="70"/>
      <c r="N1" s="70"/>
      <c r="O1" s="70"/>
      <c r="P1" s="33"/>
      <c r="Q1" s="71"/>
      <c r="R1" s="72" t="str">
        <f>'Prod Quant Chem Reactor'!T1</f>
        <v>Calculation scheme of effects</v>
      </c>
      <c r="S1" s="71"/>
      <c r="T1" s="71"/>
      <c r="U1" s="71"/>
      <c r="V1" s="71"/>
      <c r="W1" s="71"/>
      <c r="X1" s="71"/>
      <c r="Y1" s="71"/>
      <c r="Z1" s="71"/>
      <c r="AA1" s="71"/>
      <c r="AB1" s="71"/>
      <c r="AC1" s="71"/>
      <c r="AD1" s="71"/>
      <c r="AE1" s="71"/>
      <c r="AF1" s="33"/>
      <c r="AG1" s="72"/>
      <c r="AH1" s="72" t="str">
        <f>'Prod Quant Chem Reactor'!AL1</f>
        <v xml:space="preserve">Significance of effects and interaction: ANOVA </v>
      </c>
      <c r="AI1" s="72"/>
      <c r="AJ1" s="72"/>
      <c r="AK1" s="72"/>
      <c r="AL1" s="72"/>
      <c r="AM1" s="72"/>
      <c r="AN1" s="72"/>
      <c r="AO1" s="72"/>
      <c r="AP1" s="72"/>
      <c r="AQ1" s="72"/>
      <c r="AR1" s="33"/>
      <c r="AS1" s="133"/>
      <c r="AT1" s="72" t="str">
        <f>'Prod Quant Chem Reactor'!AV1</f>
        <v>Predictive function</v>
      </c>
      <c r="AU1" s="72"/>
      <c r="AV1" s="72"/>
      <c r="AW1" s="72"/>
      <c r="AX1" s="72"/>
      <c r="AY1" s="72"/>
      <c r="AZ1" s="72"/>
      <c r="BA1" s="72"/>
      <c r="BB1" s="72"/>
      <c r="BC1" s="72"/>
      <c r="BD1" s="72"/>
      <c r="BE1" s="72"/>
      <c r="BF1" s="72"/>
      <c r="BG1" s="72"/>
      <c r="BH1" s="72"/>
      <c r="BI1" s="72"/>
      <c r="BJ1" s="72"/>
      <c r="BK1" s="72"/>
      <c r="BL1" s="72"/>
      <c r="BM1" s="72"/>
      <c r="BN1" s="72"/>
      <c r="BO1" s="72"/>
    </row>
    <row r="2" spans="1:79">
      <c r="A2" s="20"/>
      <c r="B2" s="20"/>
      <c r="C2" s="20"/>
      <c r="D2" s="20"/>
      <c r="E2" s="20"/>
      <c r="F2" s="20"/>
      <c r="G2" s="20"/>
      <c r="H2" s="20"/>
      <c r="I2" s="20"/>
      <c r="J2" s="20"/>
      <c r="K2" s="20"/>
      <c r="L2" s="20"/>
      <c r="M2" s="20"/>
      <c r="N2" s="20"/>
      <c r="O2" s="20"/>
      <c r="P2" s="33"/>
      <c r="Q2" s="20"/>
      <c r="R2" s="20"/>
      <c r="S2" s="20"/>
      <c r="T2" s="20"/>
      <c r="U2" s="20"/>
      <c r="V2" s="20"/>
      <c r="W2" s="20"/>
      <c r="X2" s="20"/>
      <c r="Y2" s="20"/>
      <c r="Z2" s="20"/>
      <c r="AA2" s="20"/>
      <c r="AB2" s="20"/>
      <c r="AC2" s="20"/>
      <c r="AD2" s="20"/>
      <c r="AE2" s="20"/>
      <c r="AF2" s="33"/>
      <c r="AG2" s="20"/>
      <c r="AH2" s="20"/>
      <c r="AI2" s="20"/>
      <c r="AJ2" s="20"/>
      <c r="AK2" s="20"/>
      <c r="AL2" s="20"/>
      <c r="AM2" s="20"/>
      <c r="AN2" s="20"/>
      <c r="AO2" s="20"/>
      <c r="AP2" s="20"/>
      <c r="AQ2" s="20"/>
      <c r="AR2" s="33"/>
      <c r="AS2" s="132"/>
      <c r="AT2" s="20"/>
      <c r="AU2" s="20"/>
      <c r="AV2" s="20"/>
      <c r="AW2" s="20"/>
      <c r="AX2" s="20"/>
      <c r="AY2" s="20"/>
      <c r="AZ2" s="20"/>
      <c r="BA2" s="20"/>
      <c r="BB2" s="20"/>
      <c r="BC2" s="20"/>
      <c r="BD2" s="20"/>
      <c r="BE2" s="20"/>
      <c r="BF2" s="20"/>
      <c r="BG2" s="20"/>
      <c r="BH2" s="20"/>
      <c r="BI2" s="20"/>
      <c r="BJ2" s="20"/>
      <c r="BK2" s="20"/>
      <c r="BL2" s="20"/>
      <c r="BM2" s="20"/>
      <c r="BN2" s="20"/>
      <c r="BO2" s="20"/>
    </row>
    <row r="3" spans="1:79" ht="18" customHeight="1">
      <c r="A3" s="20"/>
      <c r="B3" s="20"/>
      <c r="C3" s="101" t="str">
        <f>'Prod Quant Chem Reactor'!C3</f>
        <v>Response:</v>
      </c>
      <c r="D3" s="121" t="s">
        <v>88</v>
      </c>
      <c r="E3" s="121" t="s">
        <v>81</v>
      </c>
      <c r="F3" s="173" t="str">
        <f>'Prod Quant Chem Reactor'!F3:G3</f>
        <v>Factor levels</v>
      </c>
      <c r="G3" s="174"/>
      <c r="H3" s="20"/>
      <c r="I3" s="175" t="str">
        <f>'Prod Quant Chem Reactor'!K3</f>
        <v>Test results:</v>
      </c>
      <c r="J3" s="176"/>
      <c r="K3" s="203" t="str">
        <f>D3</f>
        <v>Surface roughness</v>
      </c>
      <c r="L3" s="203"/>
      <c r="M3" s="171" t="str">
        <f>E3</f>
        <v>[µm]</v>
      </c>
      <c r="N3" s="172"/>
      <c r="O3" s="20"/>
      <c r="P3" s="66"/>
      <c r="Q3" s="20"/>
      <c r="R3" s="177" t="str">
        <f>'Prod Quant Chem Reactor'!T3:T4</f>
        <v>Run</v>
      </c>
      <c r="S3" s="179" t="str">
        <f>'Prod Quant Chem Reactor'!U3</f>
        <v>Signs of effects</v>
      </c>
      <c r="T3" s="180"/>
      <c r="U3" s="180"/>
      <c r="V3" s="181"/>
      <c r="W3" s="20"/>
      <c r="X3" s="20"/>
      <c r="Y3" s="20"/>
      <c r="Z3" s="20"/>
      <c r="AA3" s="161" t="str">
        <f>'Prod Quant Chem Reactor'!AD3</f>
        <v>Calculation of effects</v>
      </c>
      <c r="AB3" s="162"/>
      <c r="AC3" s="163"/>
      <c r="AD3" s="20"/>
      <c r="AE3" s="20"/>
      <c r="AF3" s="33"/>
      <c r="AG3" s="20"/>
      <c r="AH3" s="20"/>
      <c r="AI3" s="173" t="str">
        <f>'Prod Quant Chem Reactor'!AM3</f>
        <v>Effects</v>
      </c>
      <c r="AJ3" s="174"/>
      <c r="AK3" s="44" t="str">
        <f>'Yield Hidden Effects'!AJ3</f>
        <v>Coeff.</v>
      </c>
      <c r="AL3" s="20"/>
      <c r="AM3" s="20"/>
      <c r="AN3" s="20"/>
      <c r="AO3" s="20"/>
      <c r="AP3" s="20"/>
      <c r="AQ3" s="20"/>
      <c r="AR3" s="33"/>
      <c r="AS3" s="132"/>
      <c r="AT3" s="20"/>
      <c r="AU3" s="20"/>
      <c r="AV3" s="20"/>
      <c r="AW3" s="20"/>
      <c r="AX3" s="20"/>
      <c r="AY3" s="20"/>
      <c r="AZ3" s="20"/>
      <c r="BA3" s="20"/>
      <c r="BB3" s="20"/>
      <c r="BC3" s="20"/>
      <c r="BD3" s="20"/>
      <c r="BE3" s="20"/>
      <c r="BF3" s="20"/>
      <c r="BG3" s="20"/>
      <c r="BH3" s="20"/>
      <c r="BI3" s="20"/>
      <c r="BJ3" s="20"/>
      <c r="BK3" s="20"/>
      <c r="BL3" s="20"/>
      <c r="BM3" s="20"/>
      <c r="BN3" s="20"/>
      <c r="BO3" s="20"/>
    </row>
    <row r="4" spans="1:79" ht="18">
      <c r="A4" s="20"/>
      <c r="B4" s="20"/>
      <c r="C4" s="102" t="str">
        <f>'Prod Quant Chem Reactor'!C4</f>
        <v>Factor</v>
      </c>
      <c r="D4" s="102" t="str">
        <f>'Prod Quant Chem Reactor'!D4</f>
        <v>Measurement unit</v>
      </c>
      <c r="E4" s="102" t="str">
        <f>'Prod Quant Chem Reactor'!E4</f>
        <v>Factor type</v>
      </c>
      <c r="F4" s="102" t="str">
        <f>'Prod Quant Chem Reactor'!F4</f>
        <v>low</v>
      </c>
      <c r="G4" s="102" t="str">
        <f>'Prod Quant Chem Reactor'!G4</f>
        <v>high</v>
      </c>
      <c r="H4" s="20"/>
      <c r="I4" s="182" t="str">
        <f>B6</f>
        <v>B</v>
      </c>
      <c r="J4" s="183"/>
      <c r="K4" s="58" t="str">
        <f>B5</f>
        <v>A</v>
      </c>
      <c r="L4" s="62" t="str">
        <f>C5</f>
        <v>Cutting depth</v>
      </c>
      <c r="M4" s="62"/>
      <c r="N4" s="63"/>
      <c r="O4" s="20"/>
      <c r="P4" s="66"/>
      <c r="Q4" s="20"/>
      <c r="R4" s="178"/>
      <c r="S4" s="4" t="s">
        <v>6</v>
      </c>
      <c r="T4" s="4" t="s">
        <v>0</v>
      </c>
      <c r="U4" s="4" t="s">
        <v>1</v>
      </c>
      <c r="V4" s="4" t="s">
        <v>2</v>
      </c>
      <c r="W4" s="20"/>
      <c r="X4" s="2" t="str">
        <f>'Prod Quant Chem Reactor'!Z4</f>
        <v>Response</v>
      </c>
      <c r="Y4" s="20"/>
      <c r="Z4" s="20"/>
      <c r="AA4" s="4" t="s">
        <v>0</v>
      </c>
      <c r="AB4" s="4" t="s">
        <v>1</v>
      </c>
      <c r="AC4" s="4" t="s">
        <v>2</v>
      </c>
      <c r="AD4" s="20"/>
      <c r="AE4" s="20"/>
      <c r="AF4" s="33"/>
      <c r="AG4" s="20"/>
      <c r="AH4" s="58" t="str">
        <f>'Prod Quant Chem Reactor'!AL4</f>
        <v>Factor</v>
      </c>
      <c r="AI4" s="58" t="str">
        <f>D3</f>
        <v>Surface roughness</v>
      </c>
      <c r="AJ4" s="61" t="str">
        <f>E3</f>
        <v>[µm]</v>
      </c>
      <c r="AK4" s="45" t="s">
        <v>55</v>
      </c>
      <c r="AL4" s="59" t="s">
        <v>8</v>
      </c>
      <c r="AM4" s="8" t="s">
        <v>9</v>
      </c>
      <c r="AN4" s="207" t="str">
        <f>'Prod Quant Chem Reactor'!AQ4</f>
        <v>F-test result</v>
      </c>
      <c r="AO4" s="208"/>
      <c r="AP4" s="119" t="str">
        <f>'Prod Quant Chem Reactor'!AR4</f>
        <v>p-value</v>
      </c>
      <c r="AQ4" s="20"/>
      <c r="AR4" s="33"/>
      <c r="AS4" s="132"/>
      <c r="AT4" s="20"/>
      <c r="AU4" s="20"/>
      <c r="AV4" s="20"/>
      <c r="AW4" s="20"/>
      <c r="AX4" s="20"/>
      <c r="AY4" s="23" t="s">
        <v>20</v>
      </c>
      <c r="AZ4" s="31"/>
      <c r="BA4" s="31"/>
      <c r="BB4" s="31"/>
      <c r="BC4" s="31"/>
      <c r="BD4" s="31"/>
      <c r="BE4" s="31"/>
      <c r="BF4" s="31"/>
      <c r="BG4" s="31"/>
      <c r="BH4" s="31"/>
      <c r="BI4" s="31"/>
      <c r="BJ4" s="31"/>
      <c r="BK4" s="31"/>
      <c r="BL4" s="31"/>
      <c r="BM4" s="28" t="s">
        <v>12</v>
      </c>
      <c r="BN4" s="13">
        <f>$AK$5</f>
        <v>3.7250000000000001</v>
      </c>
      <c r="BO4" s="20"/>
    </row>
    <row r="5" spans="1:79" ht="15" customHeight="1">
      <c r="A5" s="20"/>
      <c r="B5" s="113" t="s">
        <v>0</v>
      </c>
      <c r="C5" s="122" t="s">
        <v>89</v>
      </c>
      <c r="D5" s="122" t="s">
        <v>30</v>
      </c>
      <c r="E5" s="122" t="s">
        <v>50</v>
      </c>
      <c r="F5" s="122">
        <v>0.5</v>
      </c>
      <c r="G5" s="122">
        <v>1</v>
      </c>
      <c r="H5" s="20"/>
      <c r="I5" s="184" t="str">
        <f>C6</f>
        <v>Feed</v>
      </c>
      <c r="J5" s="185"/>
      <c r="K5" s="36">
        <f>F5</f>
        <v>0.5</v>
      </c>
      <c r="L5" s="34" t="s">
        <v>23</v>
      </c>
      <c r="M5" s="35">
        <f>G5</f>
        <v>1</v>
      </c>
      <c r="N5" s="34" t="s">
        <v>24</v>
      </c>
      <c r="O5" s="20"/>
      <c r="P5" s="65"/>
      <c r="Q5" s="20"/>
      <c r="R5" s="5" t="s">
        <v>7</v>
      </c>
      <c r="S5" s="6">
        <v>1</v>
      </c>
      <c r="T5" s="6">
        <f>-1</f>
        <v>-1</v>
      </c>
      <c r="U5" s="6">
        <f>-1</f>
        <v>-1</v>
      </c>
      <c r="V5" s="6">
        <f>PRODUCT(T5,U5)</f>
        <v>1</v>
      </c>
      <c r="W5" s="20"/>
      <c r="X5" s="21">
        <f>$L$6</f>
        <v>2.8</v>
      </c>
      <c r="Y5" s="20"/>
      <c r="Z5" s="20"/>
      <c r="AA5" s="6">
        <f>$T5*$X5</f>
        <v>-2.8</v>
      </c>
      <c r="AB5" s="6">
        <f>$U5*$X5</f>
        <v>-2.8</v>
      </c>
      <c r="AC5" s="6">
        <f>$V5*$X5</f>
        <v>2.8</v>
      </c>
      <c r="AD5" s="20"/>
      <c r="AE5" s="20"/>
      <c r="AF5" s="33"/>
      <c r="AG5" s="20"/>
      <c r="AH5" s="1"/>
      <c r="AI5" s="211"/>
      <c r="AJ5" s="212"/>
      <c r="AK5" s="46">
        <f>X9</f>
        <v>3.7250000000000001</v>
      </c>
      <c r="AL5" s="1"/>
      <c r="AM5" s="1"/>
      <c r="AN5" s="6"/>
      <c r="AO5" s="43"/>
      <c r="AP5" s="91"/>
      <c r="AQ5" s="20"/>
      <c r="AR5" s="33"/>
      <c r="AS5" s="132"/>
      <c r="AT5" s="20"/>
      <c r="AU5" s="1" t="str">
        <f>'Prod Quant Chem Reactor'!AY5</f>
        <v>Levels</v>
      </c>
      <c r="AV5" s="1"/>
      <c r="AW5" s="20"/>
      <c r="AX5" s="20"/>
      <c r="AY5" s="23" t="s">
        <v>14</v>
      </c>
      <c r="AZ5" s="24" t="s">
        <v>11</v>
      </c>
      <c r="BA5" s="24" t="s">
        <v>15</v>
      </c>
      <c r="BB5" s="25"/>
      <c r="BC5" s="25"/>
      <c r="BD5" s="25"/>
      <c r="BE5" s="25"/>
      <c r="BF5" s="25"/>
      <c r="BG5" s="25"/>
      <c r="BH5" s="25"/>
      <c r="BI5" s="24"/>
      <c r="BJ5" s="26">
        <f>$AK$6</f>
        <v>0.82499999999999996</v>
      </c>
      <c r="BK5" s="24" t="s">
        <v>11</v>
      </c>
      <c r="BL5" s="27">
        <f>$AV$6</f>
        <v>0.20000000000000018</v>
      </c>
      <c r="BM5" s="28" t="s">
        <v>12</v>
      </c>
      <c r="BN5" s="13">
        <f>BJ5*BL5*$AO6</f>
        <v>0.16500000000000015</v>
      </c>
      <c r="BO5" s="20"/>
    </row>
    <row r="6" spans="1:79" ht="18">
      <c r="A6" s="20"/>
      <c r="B6" s="113" t="s">
        <v>1</v>
      </c>
      <c r="C6" s="122" t="s">
        <v>80</v>
      </c>
      <c r="D6" s="122" t="s">
        <v>30</v>
      </c>
      <c r="E6" s="122" t="s">
        <v>50</v>
      </c>
      <c r="F6" s="122">
        <v>5.0000000000000001E-3</v>
      </c>
      <c r="G6" s="122">
        <v>0.1</v>
      </c>
      <c r="H6" s="20"/>
      <c r="I6" s="38">
        <f>F6</f>
        <v>5.0000000000000001E-3</v>
      </c>
      <c r="J6" s="37" t="s">
        <v>23</v>
      </c>
      <c r="K6" s="8" t="s">
        <v>7</v>
      </c>
      <c r="L6" s="3">
        <v>2.8</v>
      </c>
      <c r="M6" s="8" t="s">
        <v>3</v>
      </c>
      <c r="N6" s="3">
        <v>3.5</v>
      </c>
      <c r="O6" s="20"/>
      <c r="P6" s="65"/>
      <c r="Q6" s="20"/>
      <c r="R6" s="4" t="s">
        <v>3</v>
      </c>
      <c r="S6" s="6">
        <v>1</v>
      </c>
      <c r="T6" s="6">
        <v>1</v>
      </c>
      <c r="U6" s="6">
        <f>-1</f>
        <v>-1</v>
      </c>
      <c r="V6" s="6">
        <f t="shared" ref="V6:V7" si="0">PRODUCT(T6:U6)</f>
        <v>-1</v>
      </c>
      <c r="W6" s="20"/>
      <c r="X6" s="21">
        <f>$N$6</f>
        <v>3.5</v>
      </c>
      <c r="Y6" s="20"/>
      <c r="Z6" s="20"/>
      <c r="AA6" s="6">
        <f>$T6*$X6</f>
        <v>3.5</v>
      </c>
      <c r="AB6" s="6">
        <f>$U6*$X6</f>
        <v>-3.5</v>
      </c>
      <c r="AC6" s="6">
        <f>$V6*$X6</f>
        <v>-3.5</v>
      </c>
      <c r="AD6" s="20"/>
      <c r="AE6" s="20"/>
      <c r="AF6" s="33"/>
      <c r="AG6" s="20"/>
      <c r="AH6" s="7" t="s">
        <v>0</v>
      </c>
      <c r="AI6" s="193">
        <f>AA9</f>
        <v>1.65</v>
      </c>
      <c r="AJ6" s="194"/>
      <c r="AK6" s="16">
        <f t="shared" ref="AK6:AK8" si="1">AI6/2</f>
        <v>0.82499999999999996</v>
      </c>
      <c r="AL6" s="15">
        <f>AI6^2</f>
        <v>2.7224999999999997</v>
      </c>
      <c r="AM6" s="14">
        <f>AL6/$AM$12</f>
        <v>25.928571428571427</v>
      </c>
      <c r="AN6" s="6" t="str">
        <f>IF($AM6&gt;$AM$15,$AN$22,$AN$23)</f>
        <v>significant</v>
      </c>
      <c r="AO6" s="6">
        <f>IF($AM6&gt;$AM$15,1,0)</f>
        <v>1</v>
      </c>
      <c r="AP6" s="127">
        <f>FDIST(AM6,1,$AK$13)</f>
        <v>7.0216006929032272E-3</v>
      </c>
      <c r="AQ6" s="20"/>
      <c r="AR6" s="33"/>
      <c r="AS6" s="132"/>
      <c r="AT6" s="1" t="s">
        <v>0</v>
      </c>
      <c r="AU6" s="10">
        <v>0.8</v>
      </c>
      <c r="AV6" s="13">
        <f>(AU6-AVERAGE(F5:G5))/(G5-F5)*2</f>
        <v>0.20000000000000018</v>
      </c>
      <c r="AW6" s="17" t="s">
        <v>21</v>
      </c>
      <c r="AX6" s="20"/>
      <c r="AY6" s="23" t="s">
        <v>16</v>
      </c>
      <c r="AZ6" s="24" t="s">
        <v>11</v>
      </c>
      <c r="BA6" s="24" t="s">
        <v>18</v>
      </c>
      <c r="BB6" s="25"/>
      <c r="BC6" s="25"/>
      <c r="BD6" s="25"/>
      <c r="BE6" s="25"/>
      <c r="BF6" s="25"/>
      <c r="BG6" s="25"/>
      <c r="BH6" s="25"/>
      <c r="BI6" s="24"/>
      <c r="BJ6" s="26">
        <f>$AK$7</f>
        <v>0.57499999999999996</v>
      </c>
      <c r="BK6" s="24" t="s">
        <v>11</v>
      </c>
      <c r="BL6" s="27">
        <f>$AV$7</f>
        <v>-0.2631578947368422</v>
      </c>
      <c r="BM6" s="28" t="s">
        <v>12</v>
      </c>
      <c r="BN6" s="13">
        <f>BJ6*BL6*$AO7</f>
        <v>-0.15131578947368426</v>
      </c>
      <c r="BO6" s="20"/>
    </row>
    <row r="7" spans="1:79" ht="18">
      <c r="A7" s="20"/>
      <c r="B7" s="20"/>
      <c r="C7" s="20"/>
      <c r="D7" s="20"/>
      <c r="E7" s="20"/>
      <c r="F7" s="20"/>
      <c r="G7" s="20"/>
      <c r="H7" s="20"/>
      <c r="I7" s="38">
        <f>G6</f>
        <v>0.1</v>
      </c>
      <c r="J7" s="37" t="s">
        <v>24</v>
      </c>
      <c r="K7" s="8" t="s">
        <v>4</v>
      </c>
      <c r="L7" s="3">
        <v>3</v>
      </c>
      <c r="M7" s="8" t="s">
        <v>5</v>
      </c>
      <c r="N7" s="3">
        <v>5.6</v>
      </c>
      <c r="O7" s="20"/>
      <c r="P7" s="65"/>
      <c r="Q7" s="20"/>
      <c r="R7" s="4" t="s">
        <v>4</v>
      </c>
      <c r="S7" s="6">
        <v>1</v>
      </c>
      <c r="T7" s="6">
        <f>-1</f>
        <v>-1</v>
      </c>
      <c r="U7" s="6">
        <v>1</v>
      </c>
      <c r="V7" s="6">
        <f t="shared" si="0"/>
        <v>-1</v>
      </c>
      <c r="W7" s="20"/>
      <c r="X7" s="21">
        <f>$L$7</f>
        <v>3</v>
      </c>
      <c r="Y7" s="20"/>
      <c r="Z7" s="20"/>
      <c r="AA7" s="6">
        <f>$T7*$X7</f>
        <v>-3</v>
      </c>
      <c r="AB7" s="6">
        <f>$U7*$X7</f>
        <v>3</v>
      </c>
      <c r="AC7" s="6">
        <f>$V7*$X7</f>
        <v>-3</v>
      </c>
      <c r="AD7" s="20"/>
      <c r="AE7" s="20"/>
      <c r="AF7" s="33"/>
      <c r="AG7" s="20"/>
      <c r="AH7" s="7" t="s">
        <v>1</v>
      </c>
      <c r="AI7" s="193">
        <f>AB9</f>
        <v>1.1499999999999999</v>
      </c>
      <c r="AJ7" s="194"/>
      <c r="AK7" s="16">
        <f t="shared" si="1"/>
        <v>0.57499999999999996</v>
      </c>
      <c r="AL7" s="15">
        <f t="shared" ref="AL7:AL8" si="2">AI7^2</f>
        <v>1.3224999999999998</v>
      </c>
      <c r="AM7" s="14">
        <f>AL7/$AM$12</f>
        <v>12.595238095238093</v>
      </c>
      <c r="AN7" s="6" t="str">
        <f t="shared" ref="AN7:AN8" si="3">IF($AM7&gt;$AM$15,$AN$22,$AN$23)</f>
        <v>significant</v>
      </c>
      <c r="AO7" s="6">
        <f>IF($AM7&gt;$AM$15,1,0)</f>
        <v>1</v>
      </c>
      <c r="AP7" s="127">
        <f t="shared" ref="AP7:AP8" si="4">FDIST(AM7,1,$AK$13)</f>
        <v>2.3820455903274296E-2</v>
      </c>
      <c r="AQ7" s="20"/>
      <c r="AR7" s="33"/>
      <c r="AS7" s="132"/>
      <c r="AT7" s="1" t="s">
        <v>1</v>
      </c>
      <c r="AU7" s="10">
        <v>0.04</v>
      </c>
      <c r="AV7" s="13">
        <f>(AU7-AVERAGE(F6:G6))/(G6-F6)*2</f>
        <v>-0.2631578947368422</v>
      </c>
      <c r="AW7" s="17" t="s">
        <v>22</v>
      </c>
      <c r="AX7" s="20"/>
      <c r="AY7" s="29" t="s">
        <v>17</v>
      </c>
      <c r="AZ7" s="30" t="s">
        <v>11</v>
      </c>
      <c r="BA7" s="30" t="s">
        <v>19</v>
      </c>
      <c r="BB7" s="31" t="s">
        <v>11</v>
      </c>
      <c r="BC7" s="31" t="s">
        <v>18</v>
      </c>
      <c r="BD7" s="31"/>
      <c r="BE7" s="31"/>
      <c r="BF7" s="31"/>
      <c r="BG7" s="31"/>
      <c r="BH7" s="31">
        <f>$AK$8</f>
        <v>0.47499999999999987</v>
      </c>
      <c r="BI7" s="30" t="s">
        <v>11</v>
      </c>
      <c r="BJ7" s="32">
        <f>$AV$6</f>
        <v>0.20000000000000018</v>
      </c>
      <c r="BK7" s="30" t="s">
        <v>11</v>
      </c>
      <c r="BL7" s="27">
        <f>$AV$7</f>
        <v>-0.2631578947368422</v>
      </c>
      <c r="BM7" s="28" t="s">
        <v>12</v>
      </c>
      <c r="BN7" s="68">
        <f>BH7*BJ7*BL7*$AO8</f>
        <v>-2.5000000000000026E-2</v>
      </c>
      <c r="BO7" s="67"/>
    </row>
    <row r="8" spans="1:79">
      <c r="A8" s="20"/>
      <c r="B8" s="20"/>
      <c r="C8" s="20"/>
      <c r="D8" s="20"/>
      <c r="E8" s="20"/>
      <c r="F8" s="20"/>
      <c r="G8" s="20"/>
      <c r="H8" s="20"/>
      <c r="I8" s="20"/>
      <c r="J8" s="20"/>
      <c r="K8" s="20"/>
      <c r="L8" s="20"/>
      <c r="M8" s="20"/>
      <c r="N8" s="20"/>
      <c r="O8" s="20"/>
      <c r="P8" s="33"/>
      <c r="Q8" s="20"/>
      <c r="R8" s="4" t="s">
        <v>5</v>
      </c>
      <c r="S8" s="6">
        <v>1</v>
      </c>
      <c r="T8" s="6">
        <v>1</v>
      </c>
      <c r="U8" s="6">
        <v>1</v>
      </c>
      <c r="V8" s="6">
        <f>PRODUCT(S8:U8)</f>
        <v>1</v>
      </c>
      <c r="W8" s="20"/>
      <c r="X8" s="21">
        <f>$N$7</f>
        <v>5.6</v>
      </c>
      <c r="Y8" s="20"/>
      <c r="Z8" s="20"/>
      <c r="AA8" s="6">
        <f>$T8*$X8</f>
        <v>5.6</v>
      </c>
      <c r="AB8" s="6">
        <f>$U8*$X8</f>
        <v>5.6</v>
      </c>
      <c r="AC8" s="6">
        <f>$V8*$X8</f>
        <v>5.6</v>
      </c>
      <c r="AD8" s="20"/>
      <c r="AE8" s="20"/>
      <c r="AF8" s="33"/>
      <c r="AG8" s="20"/>
      <c r="AH8" s="7" t="s">
        <v>2</v>
      </c>
      <c r="AI8" s="193">
        <f>AC9</f>
        <v>0.94999999999999973</v>
      </c>
      <c r="AJ8" s="194"/>
      <c r="AK8" s="16">
        <f t="shared" si="1"/>
        <v>0.47499999999999987</v>
      </c>
      <c r="AL8" s="15">
        <f t="shared" si="2"/>
        <v>0.90249999999999952</v>
      </c>
      <c r="AM8" s="14">
        <f>AL8/$AM$12</f>
        <v>8.5952380952380913</v>
      </c>
      <c r="AN8" s="6" t="str">
        <f t="shared" si="3"/>
        <v>significant</v>
      </c>
      <c r="AO8" s="6">
        <f>IF($AM8&gt;$AM$15,1,0)</f>
        <v>1</v>
      </c>
      <c r="AP8" s="127">
        <f t="shared" si="4"/>
        <v>4.2738555108079258E-2</v>
      </c>
      <c r="AQ8" s="20"/>
      <c r="AR8" s="33"/>
      <c r="AS8" s="132"/>
      <c r="AT8" s="20"/>
      <c r="AU8" s="47" t="s">
        <v>10</v>
      </c>
      <c r="AV8" s="48">
        <f>$AK$5 +$AK$6*$AV$6*$AO$6+$AK$7*$AV$7*$AO$7+$AK$8*$AV$6*$AV$7*$AO$8</f>
        <v>3.7136842105263161</v>
      </c>
      <c r="AW8" s="20"/>
      <c r="AX8" s="20"/>
      <c r="AY8" s="20"/>
      <c r="AZ8" s="20"/>
      <c r="BA8" s="20"/>
      <c r="BB8" s="20"/>
      <c r="BC8" s="20"/>
      <c r="BD8" s="20"/>
      <c r="BE8" s="20"/>
      <c r="BF8" s="20"/>
      <c r="BG8" s="20"/>
      <c r="BH8" s="20"/>
      <c r="BI8" s="20"/>
      <c r="BJ8" s="20"/>
      <c r="BK8" s="20"/>
      <c r="BL8" s="29" t="s">
        <v>13</v>
      </c>
      <c r="BM8" s="49" t="s">
        <v>12</v>
      </c>
      <c r="BN8" s="69">
        <f>SUM(BN4:BN7)</f>
        <v>3.7136842105263161</v>
      </c>
      <c r="BO8" s="20"/>
    </row>
    <row r="9" spans="1:79">
      <c r="A9" s="20"/>
      <c r="B9" s="20"/>
      <c r="C9" s="20"/>
      <c r="D9" s="20"/>
      <c r="E9" s="20"/>
      <c r="F9" s="20"/>
      <c r="G9" s="20"/>
      <c r="H9" s="20"/>
      <c r="I9" s="20"/>
      <c r="J9" s="20"/>
      <c r="K9" s="20"/>
      <c r="L9" s="20"/>
      <c r="M9" s="20"/>
      <c r="N9" s="20"/>
      <c r="O9" s="20"/>
      <c r="P9" s="33"/>
      <c r="Q9" s="20"/>
      <c r="R9" s="20"/>
      <c r="S9" s="20"/>
      <c r="T9" s="20"/>
      <c r="U9" s="20"/>
      <c r="V9" s="20"/>
      <c r="W9" s="20"/>
      <c r="X9" s="74">
        <f>AVERAGE(X5:X8)</f>
        <v>3.7250000000000001</v>
      </c>
      <c r="Y9" s="20"/>
      <c r="Z9" s="20"/>
      <c r="AA9" s="75">
        <f>SUM(AA$5:AA$8)/COUNT(AA$5:AA$8)*2</f>
        <v>1.65</v>
      </c>
      <c r="AB9" s="4">
        <f t="shared" ref="AB9:AC9" si="5">SUM(AB$5:AB$8)/COUNT(AB$5:AB$8)*2</f>
        <v>1.1499999999999999</v>
      </c>
      <c r="AC9" s="4">
        <f t="shared" si="5"/>
        <v>0.94999999999999973</v>
      </c>
      <c r="AD9" s="20"/>
      <c r="AE9" s="20"/>
      <c r="AF9" s="33"/>
      <c r="AG9" s="20"/>
      <c r="AH9" s="20"/>
      <c r="AI9" s="20"/>
      <c r="AJ9" s="20"/>
      <c r="AK9" s="20"/>
      <c r="AL9" s="20"/>
      <c r="AM9" s="20"/>
      <c r="AN9" s="20"/>
      <c r="AO9" s="20"/>
      <c r="AP9" s="20"/>
      <c r="AQ9" s="20"/>
      <c r="AR9" s="33"/>
      <c r="AS9" s="132"/>
      <c r="AT9" s="20"/>
      <c r="AU9" s="20"/>
      <c r="AV9" s="20"/>
      <c r="AW9" s="20"/>
      <c r="AX9" s="20"/>
      <c r="AY9" s="20"/>
      <c r="AZ9" s="20"/>
      <c r="BA9" s="20"/>
      <c r="BB9" s="20"/>
      <c r="BC9" s="20"/>
      <c r="BD9" s="20"/>
      <c r="BE9" s="20"/>
      <c r="BF9" s="20"/>
      <c r="BG9" s="20"/>
      <c r="BH9" s="20"/>
      <c r="BI9" s="20"/>
      <c r="BJ9" s="20"/>
      <c r="BK9" s="20"/>
      <c r="BL9" s="20"/>
      <c r="BM9" s="20"/>
      <c r="BN9" s="20"/>
      <c r="BO9" s="20"/>
    </row>
    <row r="10" spans="1:79">
      <c r="P10" s="33"/>
      <c r="Q10" s="20"/>
      <c r="R10" s="20"/>
      <c r="S10" s="20"/>
      <c r="T10" s="20"/>
      <c r="U10" s="20"/>
      <c r="V10" s="20"/>
      <c r="W10" s="20"/>
      <c r="X10" s="20"/>
      <c r="Y10" s="20"/>
      <c r="Z10" s="20"/>
      <c r="AA10" s="132"/>
      <c r="AB10" s="132"/>
      <c r="AC10" s="132"/>
      <c r="AD10" s="20"/>
      <c r="AE10" s="20"/>
      <c r="AF10" s="33"/>
      <c r="AG10" s="20"/>
      <c r="AH10" s="20"/>
      <c r="AI10" s="20"/>
      <c r="AJ10" s="20"/>
      <c r="AK10" s="20"/>
      <c r="AL10" s="20"/>
      <c r="AM10" s="20"/>
      <c r="AN10" s="20"/>
      <c r="AO10" s="20"/>
      <c r="AP10" s="20"/>
      <c r="AQ10" s="20"/>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row>
    <row r="11" spans="1:79">
      <c r="P11" s="33"/>
      <c r="Q11" s="20"/>
      <c r="R11" s="20"/>
      <c r="S11" s="20"/>
      <c r="T11" s="20"/>
      <c r="U11" s="20"/>
      <c r="V11" s="20"/>
      <c r="W11" s="20"/>
      <c r="X11" s="20"/>
      <c r="Y11" s="20"/>
      <c r="Z11" s="20"/>
      <c r="AA11" s="20"/>
      <c r="AB11" s="20"/>
      <c r="AC11" s="20"/>
      <c r="AD11" s="20"/>
      <c r="AE11" s="20"/>
      <c r="AF11" s="33"/>
      <c r="AG11" s="20"/>
      <c r="AH11" s="20"/>
      <c r="AI11" s="20"/>
      <c r="AJ11" s="20"/>
      <c r="AK11" s="20"/>
      <c r="AL11" s="20"/>
      <c r="AM11" s="20"/>
      <c r="AN11" s="20"/>
      <c r="AO11" s="20"/>
      <c r="AP11" s="20"/>
      <c r="AQ11" s="20"/>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row>
    <row r="12" spans="1:79" ht="18">
      <c r="P12" s="33"/>
      <c r="Q12" s="20"/>
      <c r="R12" s="20"/>
      <c r="S12" s="20"/>
      <c r="T12" s="20"/>
      <c r="U12" s="20"/>
      <c r="V12" s="20"/>
      <c r="W12" s="20"/>
      <c r="X12" s="20"/>
      <c r="Y12" s="20"/>
      <c r="Z12" s="20"/>
      <c r="AA12" s="186" t="str">
        <f>'Prod Quant Chem Reactor'!AD12</f>
        <v>Average test results y (factors at low/high level)</v>
      </c>
      <c r="AB12" s="187"/>
      <c r="AC12" s="188"/>
      <c r="AD12" s="20"/>
      <c r="AE12" s="20"/>
      <c r="AF12" s="33"/>
      <c r="AG12" s="20"/>
      <c r="AH12" s="20"/>
      <c r="AI12" s="20"/>
      <c r="AJ12" s="42" t="s">
        <v>25</v>
      </c>
      <c r="AK12" s="56">
        <v>0.42</v>
      </c>
      <c r="AL12" s="182" t="s">
        <v>29</v>
      </c>
      <c r="AM12" s="195">
        <f>AK12/AK13</f>
        <v>0.105</v>
      </c>
      <c r="AN12" s="20"/>
      <c r="AO12" s="20"/>
      <c r="AP12" s="20"/>
      <c r="AQ12" s="20"/>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U12" s="22"/>
      <c r="CA12" s="22"/>
    </row>
    <row r="13" spans="1:79" ht="15" customHeight="1">
      <c r="P13" s="33"/>
      <c r="Q13" s="20"/>
      <c r="R13" s="20"/>
      <c r="S13" s="20"/>
      <c r="T13" s="20"/>
      <c r="U13" s="20"/>
      <c r="V13" s="20"/>
      <c r="W13" s="20"/>
      <c r="X13" s="20"/>
      <c r="Y13" s="20"/>
      <c r="Z13" s="20"/>
      <c r="AA13" s="189"/>
      <c r="AB13" s="190"/>
      <c r="AC13" s="191"/>
      <c r="AD13" s="20"/>
      <c r="AE13" s="20"/>
      <c r="AF13" s="33"/>
      <c r="AG13" s="20"/>
      <c r="AH13" s="20"/>
      <c r="AI13" s="20"/>
      <c r="AJ13" s="42" t="s">
        <v>26</v>
      </c>
      <c r="AK13" s="57">
        <v>4</v>
      </c>
      <c r="AL13" s="184"/>
      <c r="AM13" s="196"/>
      <c r="AN13" s="20"/>
      <c r="AO13" s="20"/>
      <c r="AP13" s="20"/>
      <c r="AQ13" s="20"/>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row>
    <row r="14" spans="1:79" ht="14.25" customHeight="1">
      <c r="P14" s="33"/>
      <c r="Q14" s="20"/>
      <c r="R14" s="20"/>
      <c r="S14" s="20"/>
      <c r="T14" s="20"/>
      <c r="U14" s="20"/>
      <c r="V14" s="20"/>
      <c r="W14" s="20"/>
      <c r="X14" s="20"/>
      <c r="Y14" s="20"/>
      <c r="Z14" s="20"/>
      <c r="AA14" s="20"/>
      <c r="AB14" s="64" t="str">
        <f>AA4</f>
        <v>A</v>
      </c>
      <c r="AC14" s="64" t="str">
        <f>AB4</f>
        <v>B</v>
      </c>
      <c r="AD14" s="20"/>
      <c r="AE14" s="20"/>
      <c r="AF14" s="33"/>
      <c r="AG14" s="20"/>
      <c r="AH14" s="20"/>
      <c r="AI14" s="20"/>
      <c r="AJ14" s="20"/>
      <c r="AK14" s="20"/>
      <c r="AL14" s="20"/>
      <c r="AM14" s="20"/>
      <c r="AN14" s="20"/>
      <c r="AO14" s="20"/>
      <c r="AP14" s="20"/>
      <c r="AQ14" s="20"/>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row>
    <row r="15" spans="1:79" ht="15" customHeight="1">
      <c r="Z15" s="20"/>
      <c r="AA15" s="20"/>
      <c r="AB15" s="4" t="str">
        <f>C5</f>
        <v>Cutting depth</v>
      </c>
      <c r="AC15" s="4" t="str">
        <f>C6</f>
        <v>Feed</v>
      </c>
      <c r="AD15" s="20"/>
      <c r="AE15" s="20"/>
      <c r="AF15" s="33"/>
      <c r="AG15" s="20"/>
      <c r="AH15" s="20"/>
      <c r="AI15" s="20"/>
      <c r="AJ15" s="40" t="s">
        <v>27</v>
      </c>
      <c r="AK15" s="41">
        <v>0.05</v>
      </c>
      <c r="AL15" s="42" t="s">
        <v>28</v>
      </c>
      <c r="AM15" s="39">
        <f>FINV(AK15,1,$AK$13)</f>
        <v>7.708647422176786</v>
      </c>
      <c r="AN15" s="20"/>
      <c r="AO15" s="20"/>
      <c r="AP15" s="20"/>
      <c r="AQ15" s="20"/>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row>
    <row r="16" spans="1:79" ht="18">
      <c r="Z16" s="20"/>
      <c r="AA16" s="2">
        <v>-1</v>
      </c>
      <c r="AB16" s="55">
        <f>ABS(SUMIF(AA$5:AA$8,"&lt;0"))/COUNT(AA$5:AA$8)*2</f>
        <v>2.9</v>
      </c>
      <c r="AC16" s="55">
        <f>ABS(SUMIF(AB$5:AB$8,"&lt;0"))/COUNT(AB$5:AB$8)*2</f>
        <v>3.15</v>
      </c>
      <c r="AD16" s="20"/>
      <c r="AE16" s="20"/>
      <c r="AF16" s="33"/>
      <c r="AG16" s="20"/>
      <c r="AH16" s="20"/>
      <c r="AI16" s="148" t="s">
        <v>110</v>
      </c>
      <c r="AJ16" s="40" t="s">
        <v>27</v>
      </c>
      <c r="AK16" s="149">
        <v>0.01</v>
      </c>
      <c r="AL16" s="42" t="s">
        <v>28</v>
      </c>
      <c r="AM16" s="39">
        <f>FINV(AK16,1,$AK$13)</f>
        <v>21.197689584391309</v>
      </c>
      <c r="AN16" s="20" t="s">
        <v>40</v>
      </c>
      <c r="AO16" s="20"/>
      <c r="AP16" s="20"/>
      <c r="AQ16" s="20"/>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row>
    <row r="17" spans="18:67">
      <c r="Z17" s="20"/>
      <c r="AA17" s="2">
        <v>1</v>
      </c>
      <c r="AB17" s="55">
        <f>SUMIF(AA$5:AA$8,"&gt;0")/COUNT(AA$5:AA$8)*2</f>
        <v>4.55</v>
      </c>
      <c r="AC17" s="55">
        <f>SUMIF(AB$5:AB$8,"&gt;0")/COUNT(AB$5:AB$8)*2</f>
        <v>4.3</v>
      </c>
      <c r="AD17" s="20"/>
      <c r="AE17" s="20"/>
      <c r="AF17" s="33"/>
      <c r="AG17" s="20"/>
      <c r="AH17" s="20"/>
      <c r="AI17" s="20"/>
      <c r="AJ17" s="20"/>
      <c r="AK17" s="20"/>
      <c r="AL17" s="20"/>
      <c r="AM17" s="20"/>
      <c r="AN17" s="20"/>
      <c r="AO17" s="20"/>
      <c r="AP17" s="20"/>
      <c r="AQ17" s="20"/>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row>
    <row r="18" spans="18:67">
      <c r="Z18" s="20"/>
      <c r="AA18" s="20"/>
      <c r="AB18" s="20"/>
      <c r="AC18" s="20"/>
      <c r="AD18" s="20"/>
      <c r="AE18" s="20"/>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row>
    <row r="19" spans="18:67">
      <c r="V19"/>
      <c r="Z19" s="20"/>
      <c r="AA19" s="20"/>
      <c r="AB19" s="20"/>
      <c r="AC19" s="20"/>
      <c r="AD19" s="20"/>
      <c r="AE19" s="20"/>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row>
    <row r="20" spans="18:67">
      <c r="Z20" s="20"/>
      <c r="AA20" s="20"/>
      <c r="AB20" s="20"/>
      <c r="AC20" s="20"/>
      <c r="AD20" s="20"/>
      <c r="AE20" s="20"/>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row>
    <row r="21" spans="18:67">
      <c r="Z21" s="20"/>
      <c r="AA21" s="20"/>
      <c r="AB21" s="20"/>
      <c r="AC21" s="20"/>
      <c r="AD21" s="20"/>
      <c r="AE21" s="20"/>
    </row>
    <row r="22" spans="18:67">
      <c r="Z22" s="20"/>
      <c r="AA22" s="20"/>
      <c r="AB22" s="20"/>
      <c r="AC22" s="20"/>
      <c r="AD22" s="20"/>
      <c r="AE22" s="20"/>
      <c r="AN22" s="137" t="s">
        <v>65</v>
      </c>
    </row>
    <row r="23" spans="18:67">
      <c r="Z23" s="20"/>
      <c r="AA23" s="20"/>
      <c r="AB23" s="20"/>
      <c r="AC23" s="20"/>
      <c r="AD23" s="20"/>
      <c r="AE23" s="20"/>
      <c r="AN23" s="137" t="s">
        <v>66</v>
      </c>
    </row>
    <row r="24" spans="18:67">
      <c r="Z24" s="20"/>
      <c r="AA24" s="20"/>
      <c r="AB24" s="20"/>
      <c r="AC24" s="20"/>
      <c r="AD24" s="20"/>
      <c r="AE24" s="20"/>
    </row>
    <row r="25" spans="18:67">
      <c r="R25" s="19"/>
      <c r="S25" s="19"/>
      <c r="T25" s="19"/>
      <c r="Z25" s="20"/>
      <c r="AA25" s="20"/>
      <c r="AB25" s="20"/>
      <c r="AC25" s="20"/>
      <c r="AD25" s="20"/>
      <c r="AE25" s="20"/>
    </row>
    <row r="26" spans="18:67">
      <c r="R26" s="19"/>
      <c r="S26" s="19"/>
      <c r="T26" s="19"/>
      <c r="Z26" s="20"/>
      <c r="AA26" s="20"/>
      <c r="AB26" s="20"/>
      <c r="AC26" s="20"/>
      <c r="AD26" s="20"/>
      <c r="AE26" s="20"/>
    </row>
    <row r="27" spans="18:67">
      <c r="R27" s="19"/>
      <c r="S27" s="19"/>
      <c r="T27" s="19"/>
      <c r="Z27" s="20"/>
      <c r="AA27" s="20"/>
      <c r="AB27" s="20"/>
      <c r="AC27" s="20"/>
      <c r="AD27" s="20"/>
      <c r="AE27" s="20"/>
    </row>
    <row r="28" spans="18:67">
      <c r="R28" s="19"/>
      <c r="T28" s="19"/>
      <c r="U28"/>
      <c r="Z28" s="20"/>
      <c r="AA28" s="20"/>
      <c r="AB28" s="20"/>
      <c r="AC28" s="20"/>
      <c r="AD28" s="20"/>
      <c r="AE28" s="20"/>
    </row>
    <row r="29" spans="18:67">
      <c r="Z29" s="20"/>
      <c r="AA29" s="20"/>
      <c r="AB29" s="20"/>
      <c r="AC29" s="20"/>
      <c r="AD29" s="20"/>
      <c r="AE29" s="20"/>
    </row>
    <row r="30" spans="18:67">
      <c r="Z30" s="20"/>
      <c r="AA30" s="20"/>
      <c r="AB30" s="20"/>
      <c r="AC30" s="20"/>
      <c r="AD30" s="20"/>
      <c r="AE30" s="20"/>
    </row>
    <row r="31" spans="18:67">
      <c r="Z31" s="20"/>
      <c r="AA31" s="20"/>
      <c r="AB31" s="20"/>
      <c r="AC31" s="20"/>
      <c r="AD31" s="20"/>
      <c r="AE31" s="20"/>
    </row>
    <row r="32" spans="18:67">
      <c r="Z32" s="20"/>
      <c r="AA32" s="20"/>
      <c r="AB32" s="20"/>
      <c r="AC32" s="20"/>
      <c r="AD32" s="20"/>
      <c r="AE32" s="20"/>
    </row>
    <row r="33" spans="12:31">
      <c r="Z33" s="20"/>
      <c r="AA33" s="20"/>
      <c r="AB33" s="20"/>
      <c r="AC33" s="20"/>
      <c r="AD33" s="20"/>
      <c r="AE33" s="20"/>
    </row>
    <row r="34" spans="12:31">
      <c r="Z34" s="20"/>
      <c r="AA34" s="20"/>
      <c r="AB34" s="20"/>
      <c r="AC34" s="20"/>
      <c r="AD34" s="20"/>
      <c r="AE34" s="20"/>
    </row>
    <row r="35" spans="12:31">
      <c r="Z35" s="20"/>
      <c r="AA35" s="20"/>
      <c r="AB35" s="20"/>
      <c r="AC35" s="20"/>
      <c r="AD35" s="20"/>
      <c r="AE35" s="20"/>
    </row>
    <row r="36" spans="12:31">
      <c r="L36" s="9"/>
      <c r="N36" s="11"/>
      <c r="O36" s="11"/>
      <c r="P36" s="11"/>
      <c r="Z36" s="20"/>
      <c r="AA36" s="20"/>
      <c r="AB36" s="20"/>
      <c r="AC36" s="20"/>
      <c r="AD36" s="20"/>
      <c r="AE36" s="20"/>
    </row>
    <row r="37" spans="12:31">
      <c r="R37" s="12"/>
      <c r="Z37" s="54"/>
      <c r="AA37" s="54"/>
      <c r="AB37" s="54"/>
      <c r="AC37" s="54"/>
      <c r="AD37" s="54"/>
      <c r="AE37" s="54"/>
    </row>
    <row r="38" spans="12:31">
      <c r="Z38" s="20"/>
      <c r="AA38" s="20"/>
      <c r="AB38" s="161" t="s">
        <v>69</v>
      </c>
      <c r="AC38" s="162"/>
      <c r="AD38" s="163"/>
      <c r="AE38" s="20"/>
    </row>
    <row r="39" spans="12:31">
      <c r="Z39" s="20"/>
      <c r="AA39" s="20"/>
      <c r="AB39" s="50" t="s">
        <v>0</v>
      </c>
      <c r="AC39" s="50" t="s">
        <v>1</v>
      </c>
      <c r="AD39" s="50" t="s">
        <v>13</v>
      </c>
      <c r="AE39" s="20"/>
    </row>
    <row r="40" spans="12:31" ht="21" customHeight="1">
      <c r="Z40" s="20"/>
      <c r="AA40" s="51" t="str">
        <f>$C$6</f>
        <v>Feed</v>
      </c>
      <c r="AB40" s="60">
        <v>-1</v>
      </c>
      <c r="AC40" s="6">
        <v>-1</v>
      </c>
      <c r="AD40" s="6">
        <f>$X$5</f>
        <v>2.8</v>
      </c>
      <c r="AE40" s="20"/>
    </row>
    <row r="41" spans="12:31">
      <c r="Z41" s="20"/>
      <c r="AA41" s="140" t="s">
        <v>73</v>
      </c>
      <c r="AB41" s="60">
        <v>1</v>
      </c>
      <c r="AC41" s="6">
        <v>-1</v>
      </c>
      <c r="AD41" s="6">
        <f>$X$6</f>
        <v>3.5</v>
      </c>
      <c r="AE41" s="20"/>
    </row>
    <row r="42" spans="12:31" ht="21" customHeight="1">
      <c r="Z42" s="20"/>
      <c r="AA42" s="51" t="str">
        <f>$C$6</f>
        <v>Feed</v>
      </c>
      <c r="AB42" s="60">
        <v>-1</v>
      </c>
      <c r="AC42" s="6">
        <v>1</v>
      </c>
      <c r="AD42" s="115">
        <f>$X$7</f>
        <v>3</v>
      </c>
      <c r="AE42" s="20"/>
    </row>
    <row r="43" spans="12:31">
      <c r="Z43" s="20"/>
      <c r="AA43" s="140" t="s">
        <v>75</v>
      </c>
      <c r="AB43" s="60">
        <v>1</v>
      </c>
      <c r="AC43" s="6">
        <v>1</v>
      </c>
      <c r="AD43" s="6">
        <f>$X$8</f>
        <v>5.6</v>
      </c>
      <c r="AE43" s="20"/>
    </row>
    <row r="44" spans="12:31">
      <c r="Z44" s="20"/>
      <c r="AA44" s="20"/>
      <c r="AB44" s="20"/>
      <c r="AC44" s="20"/>
      <c r="AD44" s="20"/>
      <c r="AE44" s="20"/>
    </row>
    <row r="45" spans="12:31">
      <c r="Z45" s="20"/>
      <c r="AA45" s="20"/>
      <c r="AB45" s="20"/>
      <c r="AC45" s="20"/>
      <c r="AD45" s="20"/>
      <c r="AE45" s="20"/>
    </row>
    <row r="46" spans="12:31">
      <c r="Z46" s="20"/>
      <c r="AA46" s="20"/>
      <c r="AB46" s="20"/>
      <c r="AC46" s="20"/>
      <c r="AD46" s="20"/>
      <c r="AE46" s="20"/>
    </row>
    <row r="47" spans="12:31">
      <c r="Z47" s="20"/>
      <c r="AA47" s="20"/>
      <c r="AB47" s="20"/>
      <c r="AC47" s="20"/>
      <c r="AD47" s="20"/>
      <c r="AE47" s="20"/>
    </row>
    <row r="48" spans="12:31">
      <c r="Z48" s="20"/>
      <c r="AA48" s="20"/>
      <c r="AB48" s="20"/>
      <c r="AC48" s="20"/>
      <c r="AD48" s="20"/>
      <c r="AE48" s="20"/>
    </row>
    <row r="49" spans="26:31">
      <c r="Z49" s="20"/>
      <c r="AA49" s="20"/>
      <c r="AB49" s="20"/>
      <c r="AC49" s="20"/>
      <c r="AD49" s="20"/>
      <c r="AE49" s="20"/>
    </row>
    <row r="50" spans="26:31">
      <c r="Z50" s="20"/>
      <c r="AA50" s="20"/>
      <c r="AB50" s="20"/>
      <c r="AC50" s="20"/>
      <c r="AD50" s="20"/>
      <c r="AE50" s="20"/>
    </row>
    <row r="51" spans="26:31">
      <c r="Z51" s="20"/>
      <c r="AA51" s="20"/>
      <c r="AB51" s="20"/>
      <c r="AC51" s="20"/>
      <c r="AD51" s="20"/>
      <c r="AE51" s="20"/>
    </row>
    <row r="52" spans="26:31">
      <c r="Z52" s="20"/>
      <c r="AA52" s="20"/>
      <c r="AB52" s="20"/>
      <c r="AC52" s="20"/>
      <c r="AD52" s="20"/>
      <c r="AE52" s="20"/>
    </row>
    <row r="53" spans="26:31">
      <c r="Z53" s="20"/>
      <c r="AA53" s="20"/>
      <c r="AB53" s="20"/>
      <c r="AC53" s="20"/>
      <c r="AD53" s="20"/>
      <c r="AE53" s="20"/>
    </row>
    <row r="54" spans="26:31">
      <c r="Z54" s="20"/>
      <c r="AA54" s="20"/>
      <c r="AB54" s="20"/>
      <c r="AC54" s="20"/>
      <c r="AD54" s="20"/>
      <c r="AE54" s="20"/>
    </row>
    <row r="55" spans="26:31">
      <c r="Z55" s="20"/>
      <c r="AA55" s="20"/>
      <c r="AB55" s="20"/>
      <c r="AC55" s="20"/>
      <c r="AD55" s="20"/>
      <c r="AE55" s="20"/>
    </row>
    <row r="56" spans="26:31">
      <c r="Z56" s="20"/>
      <c r="AA56" s="20"/>
      <c r="AB56" s="20"/>
      <c r="AC56" s="20"/>
      <c r="AD56" s="20"/>
      <c r="AE56" s="20"/>
    </row>
    <row r="57" spans="26:31">
      <c r="Z57" s="20"/>
      <c r="AA57" s="20"/>
      <c r="AB57" s="20"/>
      <c r="AC57" s="20"/>
      <c r="AD57" s="20"/>
      <c r="AE57" s="20"/>
    </row>
    <row r="58" spans="26:31">
      <c r="Z58" s="20"/>
      <c r="AA58" s="20"/>
      <c r="AB58" s="20"/>
      <c r="AC58" s="20"/>
      <c r="AD58" s="20"/>
      <c r="AE58" s="20"/>
    </row>
    <row r="59" spans="26:31">
      <c r="Z59" s="20"/>
      <c r="AA59" s="20"/>
      <c r="AB59" s="20"/>
      <c r="AC59" s="20"/>
      <c r="AD59" s="20"/>
      <c r="AE59" s="20"/>
    </row>
    <row r="60" spans="26:31">
      <c r="Z60" s="20"/>
      <c r="AA60" s="20"/>
      <c r="AB60" s="20"/>
      <c r="AC60" s="20"/>
      <c r="AD60" s="20"/>
      <c r="AE60" s="20"/>
    </row>
    <row r="61" spans="26:31">
      <c r="Z61" s="20"/>
      <c r="AA61" s="20"/>
      <c r="AB61" s="20"/>
      <c r="AC61" s="20"/>
      <c r="AD61" s="20"/>
      <c r="AE61" s="20"/>
    </row>
    <row r="62" spans="26:31">
      <c r="Z62" s="20"/>
      <c r="AA62" s="20"/>
      <c r="AB62" s="20"/>
      <c r="AC62" s="20"/>
      <c r="AD62" s="20"/>
      <c r="AE62" s="20"/>
    </row>
  </sheetData>
  <mergeCells count="19">
    <mergeCell ref="AB38:AD38"/>
    <mergeCell ref="AI6:AJ6"/>
    <mergeCell ref="AI7:AJ7"/>
    <mergeCell ref="AI8:AJ8"/>
    <mergeCell ref="AA12:AC13"/>
    <mergeCell ref="AL12:AL13"/>
    <mergeCell ref="AM12:AM13"/>
    <mergeCell ref="AA3:AC3"/>
    <mergeCell ref="AI3:AJ3"/>
    <mergeCell ref="I4:J4"/>
    <mergeCell ref="AN4:AO4"/>
    <mergeCell ref="I5:J5"/>
    <mergeCell ref="AI5:AJ5"/>
    <mergeCell ref="F3:G3"/>
    <mergeCell ref="I3:J3"/>
    <mergeCell ref="K3:L3"/>
    <mergeCell ref="M3:N3"/>
    <mergeCell ref="R3:R4"/>
    <mergeCell ref="S3:V3"/>
  </mergeCells>
  <conditionalFormatting sqref="AO6 AN6:AN8">
    <cfRule type="cellIs" dxfId="1" priority="2" operator="equal">
      <formula>"signifikant"</formula>
    </cfRule>
  </conditionalFormatting>
  <conditionalFormatting sqref="AO6:AO8">
    <cfRule type="cellIs" dxfId="0" priority="1" operator="equal">
      <formula>1</formula>
    </cfRule>
  </conditionalFormatting>
  <pageMargins left="0.70866141732283472" right="0.70866141732283472" top="0.78740157480314965" bottom="0.78740157480314965" header="0.31496062992125984" footer="0.31496062992125984"/>
  <pageSetup paperSize="9" scale="22" orientation="landscape" verticalDpi="2"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Instructions</vt:lpstr>
      <vt:lpstr>Prod Quant Chem Reactor</vt:lpstr>
      <vt:lpstr>Yield Hidden Effects</vt:lpstr>
      <vt:lpstr>Surf Rough Turned Parts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2006-09-21T08:52:22Z</dcterms:created>
  <dcterms:modified xsi:type="dcterms:W3CDTF">2017-07-27T11:50:16Z</dcterms:modified>
</cp:coreProperties>
</file>